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01" activeTab="0"/>
  </bookViews>
  <sheets>
    <sheet name="лист1" sheetId="1" r:id="rId1"/>
    <sheet name="Таблиця" sheetId="2" r:id="rId2"/>
    <sheet name="менюшка" sheetId="3" r:id="rId3"/>
    <sheet name="ОШИБКИ" sheetId="4" r:id="rId4"/>
  </sheets>
  <definedNames>
    <definedName name="завтрак1">'лист1'!$G$21</definedName>
    <definedName name="завтрак2">'лист1'!$H$21</definedName>
    <definedName name="завтрак3">'лист1'!$I$21</definedName>
    <definedName name="завтрак4">'лист1'!$J$21</definedName>
    <definedName name="завтрак5">'лист1'!$K$21</definedName>
    <definedName name="завтрак6">'лист1'!$L$21</definedName>
    <definedName name="завтрак7">'лист1'!$M$21</definedName>
    <definedName name="завтрак8">'лист1'!$N$21</definedName>
    <definedName name="завтракл">'лист1'!$G$23</definedName>
    <definedName name="завтракл2">'лист1'!$M$23</definedName>
    <definedName name="имя">'лист1'!$AQ$2:$AQ$150</definedName>
    <definedName name="обед1">'лист1'!$O$21</definedName>
    <definedName name="обед2">'лист1'!$P$21</definedName>
    <definedName name="обед3">'лист1'!$Q$21</definedName>
    <definedName name="обед4">'лист1'!$R$21</definedName>
    <definedName name="обед5">'лист1'!$S$21</definedName>
    <definedName name="обед6">'лист1'!$T$21</definedName>
    <definedName name="обед7">'лист1'!$U$21</definedName>
    <definedName name="обед8">'лист1'!$V$21</definedName>
    <definedName name="обідл">'лист1'!$O$23</definedName>
    <definedName name="_xlnm.Print_Area" localSheetId="0">'лист1'!$A$1:$AN$557</definedName>
    <definedName name="полдник1">'лист1'!$W$21</definedName>
    <definedName name="полдник2">'лист1'!$X$21</definedName>
    <definedName name="полдник3">'лист1'!$Y$21</definedName>
    <definedName name="полдникл">'лист1'!$W$23</definedName>
    <definedName name="список">'лист1'!$AR$1:$AR$100</definedName>
    <definedName name="сред">'лист1'!$F$6</definedName>
    <definedName name="таб">'Таблиця'!$B$2:$GS$500</definedName>
    <definedName name="табла">'Таблиця'!$268:$269</definedName>
    <definedName name="ужин1">'лист1'!$Z$21</definedName>
    <definedName name="ужин2">'лист1'!$AA$21</definedName>
    <definedName name="ужин3">'лист1'!$AB$21</definedName>
    <definedName name="ужин4">'лист1'!$AC$21</definedName>
    <definedName name="ужин5">'лист1'!$AD$21</definedName>
    <definedName name="ужин6">'лист1'!$AE$21</definedName>
    <definedName name="ужин7">'лист1'!$AF$21</definedName>
    <definedName name="ужин8">'лист1'!$AG$21</definedName>
    <definedName name="ужинл">'лист1'!$Z$23</definedName>
    <definedName name="Цена">'лист1'!$AQ$117</definedName>
  </definedNames>
  <calcPr fullCalcOnLoad="1"/>
</workbook>
</file>

<file path=xl/sharedStrings.xml><?xml version="1.0" encoding="utf-8"?>
<sst xmlns="http://schemas.openxmlformats.org/spreadsheetml/2006/main" count="1060" uniqueCount="550">
  <si>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</si>
  <si>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</si>
  <si>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</si>
  <si>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</si>
  <si>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</si>
  <si>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</si>
  <si>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</si>
  <si>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М'ясо (яловичина, баранина)</t>
  </si>
  <si>
    <t>Птиця</t>
  </si>
  <si>
    <t>Ковбаса варена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</si>
  <si>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</si>
  <si>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</si>
  <si>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</si>
  <si>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</si>
  <si>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</si>
  <si>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</si>
  <si>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</si>
  <si>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</si>
  <si>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</si>
  <si>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</si>
  <si>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</si>
  <si>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</si>
  <si>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</si>
  <si>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</si>
  <si>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</si>
  <si>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</si>
  <si>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</si>
  <si>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</si>
  <si>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</si>
  <si>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</si>
  <si>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</si>
  <si>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</si>
  <si>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</si>
  <si>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</si>
  <si>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</si>
  <si>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</si>
  <si>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</si>
  <si>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</si>
  <si>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</si>
  <si>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</si>
  <si>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</si>
  <si>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</si>
  <si>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</si>
  <si>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</si>
  <si>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</si>
  <si>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</si>
  <si>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</si>
  <si>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</si>
  <si>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</si>
  <si>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</si>
  <si>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</si>
  <si>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Масло вершкове селянське 72,6%</t>
  </si>
  <si>
    <t>Кефір 2,5%</t>
  </si>
  <si>
    <t>Пшоно</t>
  </si>
  <si>
    <t>Огірки консервовані</t>
  </si>
  <si>
    <t>Вихід</t>
  </si>
  <si>
    <t>Помідори квашені</t>
  </si>
  <si>
    <t>лимон</t>
  </si>
  <si>
    <t>сухарі панірувальні</t>
  </si>
  <si>
    <t>крупа ячмінна</t>
  </si>
  <si>
    <t>Борошно</t>
  </si>
  <si>
    <t>вермішель</t>
  </si>
  <si>
    <t>крупа перлова</t>
  </si>
  <si>
    <t>Крупа ячмінна</t>
  </si>
  <si>
    <t>Крупа перлова</t>
  </si>
  <si>
    <t>Вермішель</t>
  </si>
  <si>
    <t>Сухарі панірувальні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</si>
  <si>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</si>
  <si>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</si>
  <si>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</si>
  <si>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</si>
  <si>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</si>
  <si>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</si>
  <si>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</si>
  <si>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</si>
  <si>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</si>
  <si>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</si>
  <si>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</si>
  <si>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</si>
  <si>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</si>
  <si>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</si>
  <si>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</si>
  <si>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</si>
  <si>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</si>
  <si>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</si>
  <si>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</si>
  <si>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</si>
  <si>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</si>
  <si>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</si>
  <si>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</si>
  <si>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</si>
  <si>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</si>
  <si>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</si>
  <si>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</si>
  <si>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</si>
  <si>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</si>
  <si>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</si>
  <si>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</si>
  <si>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</si>
  <si>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ЦЕНА хліб житній</t>
  </si>
  <si>
    <t>Родзинки</t>
  </si>
  <si>
    <t>часник</t>
  </si>
  <si>
    <t>Бублики</t>
  </si>
  <si>
    <t>Консерва рибна</t>
  </si>
  <si>
    <t>огірки свіжі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</si>
  <si>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</si>
  <si>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</si>
  <si>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</si>
  <si>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</si>
  <si>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</si>
  <si>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квасоля суха</t>
  </si>
  <si>
    <t>Квасоля суха</t>
  </si>
  <si>
    <t>помідори свіжі</t>
  </si>
  <si>
    <t xml:space="preserve">помідори свіжі </t>
  </si>
  <si>
    <t>чай каркаде</t>
  </si>
  <si>
    <t>кукурудзяна крупа</t>
  </si>
  <si>
    <t>капуста квашена</t>
  </si>
  <si>
    <t xml:space="preserve">Капуста свіжа </t>
  </si>
  <si>
    <t>Капуста квашена</t>
  </si>
  <si>
    <t>сардельки,сосиски</t>
  </si>
  <si>
    <t>гарбуз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</si>
  <si>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</si>
  <si>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</si>
  <si>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</si>
  <si>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</si>
  <si>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</si>
  <si>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йогурт</t>
  </si>
  <si>
    <t>закритий бутерброд з повидлом</t>
  </si>
  <si>
    <t>Варення, джем,мармелад</t>
  </si>
  <si>
    <t>закритий бутерброд з мармеладом</t>
  </si>
  <si>
    <t>бургер</t>
  </si>
  <si>
    <t>салат з буряком ,картоплею та квашеною капустою</t>
  </si>
  <si>
    <t>салат з буряком та сухариками</t>
  </si>
  <si>
    <t>салат з запеченої капусти</t>
  </si>
  <si>
    <t>салат  з капусти з ароматною олією</t>
  </si>
  <si>
    <t>салат з капусти з зеленим горошком</t>
  </si>
  <si>
    <t>салат з пастою та буряком</t>
  </si>
  <si>
    <t xml:space="preserve">салат з червоної капусти з соусом </t>
  </si>
  <si>
    <t xml:space="preserve">салат картопляний </t>
  </si>
  <si>
    <t>салат з гарбузом та яблуком</t>
  </si>
  <si>
    <t>салат з буряком та селерою</t>
  </si>
  <si>
    <t>корінь селери</t>
  </si>
  <si>
    <t>редиска</t>
  </si>
  <si>
    <t>печінка</t>
  </si>
  <si>
    <t>борщ з картоплею</t>
  </si>
  <si>
    <t>пшоняна каша з квашеною капустою</t>
  </si>
  <si>
    <t>мусака</t>
  </si>
  <si>
    <t>кабачки сіжі</t>
  </si>
  <si>
    <t>каркаде</t>
  </si>
  <si>
    <t>банани  свііжі</t>
  </si>
  <si>
    <t>борошно кукурудзяне</t>
  </si>
  <si>
    <t>сода</t>
  </si>
  <si>
    <t>оцет 6%</t>
  </si>
  <si>
    <t>ягоди свіжі</t>
  </si>
  <si>
    <t>квітки липи</t>
  </si>
  <si>
    <t>салат зелений</t>
  </si>
  <si>
    <t>перець солодкий свіжий</t>
  </si>
  <si>
    <t>салат зі свіжого буряка та сметаною</t>
  </si>
  <si>
    <t>салат зі свіжого буряка та ароматної олії</t>
  </si>
  <si>
    <t>салат з капусти,зеленого горошку та насіння</t>
  </si>
  <si>
    <t>салат з буряком та чорносливом</t>
  </si>
  <si>
    <t>салат з буряком ,курагою та горіхами</t>
  </si>
  <si>
    <t>меліса</t>
  </si>
  <si>
    <t>курага</t>
  </si>
  <si>
    <t>горіхи волоські</t>
  </si>
  <si>
    <t>салат фруктовий з горіхами</t>
  </si>
  <si>
    <t>апельсини</t>
  </si>
  <si>
    <t>насіння гарбузове очищене</t>
  </si>
  <si>
    <t>салат з морквою та імбирем</t>
  </si>
  <si>
    <t>салат з буряком ,селерою та сиром</t>
  </si>
  <si>
    <t>салат з капустою та морквою</t>
  </si>
  <si>
    <t>салат з морквою та яблуком</t>
  </si>
  <si>
    <t>салат з квашеними огірками та свіжою капустою</t>
  </si>
  <si>
    <t>овочеве асорті</t>
  </si>
  <si>
    <t>насіння кунжутне</t>
  </si>
  <si>
    <t>салат з морквою та родзинками</t>
  </si>
  <si>
    <t xml:space="preserve">кориця </t>
  </si>
  <si>
    <t>салат з запеченої груші та моркви</t>
  </si>
  <si>
    <t>груша свіжа</t>
  </si>
  <si>
    <t>вінегрет</t>
  </si>
  <si>
    <t>салат з морквою,каррі та соусом "Вінегрет"</t>
  </si>
  <si>
    <t>каррі мелена</t>
  </si>
  <si>
    <t>салат з запеченою  капустою та  родзинками</t>
  </si>
  <si>
    <t>мускатний горіх</t>
  </si>
  <si>
    <t>салат з морквою ,сиром та сметаною</t>
  </si>
  <si>
    <t>салат з моркви та капусти зі сметанно-хроновим соусом</t>
  </si>
  <si>
    <t>салат з капустою та хроном</t>
  </si>
  <si>
    <t>хрін білий пастеризований</t>
  </si>
  <si>
    <t>салат з червогої капусти з соусом "Вінегрет"</t>
  </si>
  <si>
    <t>капуста червонокачанна</t>
  </si>
  <si>
    <t>салат з гречкою та овочами</t>
  </si>
  <si>
    <t>куркума</t>
  </si>
  <si>
    <t>салат із перетертим яцем та яблуком</t>
  </si>
  <si>
    <t>салат із яйцем та зеленим горошком</t>
  </si>
  <si>
    <t>салат з капусти,моркви та зеленого горошку</t>
  </si>
  <si>
    <t>салат зелений з огірків та томатів</t>
  </si>
  <si>
    <t>салат зі свіжих томатів</t>
  </si>
  <si>
    <t>салат зі свіжих томатів з солодким перцем</t>
  </si>
  <si>
    <t>салат з овочів та яєць</t>
  </si>
  <si>
    <t>салат з капусти,огірків та кропу</t>
  </si>
  <si>
    <t>кріп свіжий</t>
  </si>
  <si>
    <t>салат з капусти з насінням</t>
  </si>
  <si>
    <t>салат з капусти,яблуком та селерою</t>
  </si>
  <si>
    <t>салат з огірками,петрушкою та часником</t>
  </si>
  <si>
    <t>петрушка свіжа</t>
  </si>
  <si>
    <t>часник свіжий</t>
  </si>
  <si>
    <t>салат з капусти,огірків та насіння фенхелю</t>
  </si>
  <si>
    <t>насіння фенхелю</t>
  </si>
  <si>
    <t>салат з кисломолочним сиром та солодким перцем</t>
  </si>
  <si>
    <t>орегано сухий</t>
  </si>
  <si>
    <t>перець чорний  мелений</t>
  </si>
  <si>
    <t>салат з м'якого сиру та томатів</t>
  </si>
  <si>
    <t>салат з капустою та огірками зі сметаною</t>
  </si>
  <si>
    <t>компот з ягодами та м'ятою</t>
  </si>
  <si>
    <t>м'ята сушена</t>
  </si>
  <si>
    <t>кисіль вишневий</t>
  </si>
  <si>
    <t>узвар</t>
  </si>
  <si>
    <t>напій з шипшини</t>
  </si>
  <si>
    <t>плоди шипшини сушені</t>
  </si>
  <si>
    <t>какао з молоком</t>
  </si>
  <si>
    <t>гвоздика</t>
  </si>
  <si>
    <t>сочевичний суп-пюре</t>
  </si>
  <si>
    <t>сочевиця</t>
  </si>
  <si>
    <t>паприка мелена</t>
  </si>
  <si>
    <t>капусняк з гарбузом</t>
  </si>
  <si>
    <t>суп білий з галушками</t>
  </si>
  <si>
    <t>суп квасолевий</t>
  </si>
  <si>
    <t>сливи свіжі</t>
  </si>
  <si>
    <t>хмелі-сунелі</t>
  </si>
  <si>
    <t>суп гороховий</t>
  </si>
  <si>
    <t>бульйон овочевий</t>
  </si>
  <si>
    <t>ризото із зеленим горошком та твердим сиром</t>
  </si>
  <si>
    <t>сочевиця зі спеціями</t>
  </si>
  <si>
    <t>овочеве  рагу з зеленим  горошком</t>
  </si>
  <si>
    <t>овочеве соте</t>
  </si>
  <si>
    <t>баклажани свіжі</t>
  </si>
  <si>
    <t>базилік сухий</t>
  </si>
  <si>
    <t>банош</t>
  </si>
  <si>
    <t>картопляне пюре з орегано</t>
  </si>
  <si>
    <t>каша пшенична</t>
  </si>
  <si>
    <t>овочева паелья з куркумою(морква,цибуля)</t>
  </si>
  <si>
    <t>гречка з томатною пастою</t>
  </si>
  <si>
    <t>рис розсипчастий з орегано</t>
  </si>
  <si>
    <t>булгур</t>
  </si>
  <si>
    <t>гречана каша з чебрецем</t>
  </si>
  <si>
    <t>чебрець сухий</t>
  </si>
  <si>
    <t>кускус розсипчастий з овочами</t>
  </si>
  <si>
    <t>кускус</t>
  </si>
  <si>
    <t>відварена картопля</t>
  </si>
  <si>
    <t>рис з кмином</t>
  </si>
  <si>
    <t xml:space="preserve">кмин сухий </t>
  </si>
  <si>
    <t xml:space="preserve">кускус розсипчастий </t>
  </si>
  <si>
    <t>квасоля червона варена</t>
  </si>
  <si>
    <t>квасоля варена біла</t>
  </si>
  <si>
    <t>лобіо з квасолею</t>
  </si>
  <si>
    <t>горохове пюре з чорносливом</t>
  </si>
  <si>
    <t>горохове пюре з зеленого гороху</t>
  </si>
  <si>
    <t>коріандр мелений</t>
  </si>
  <si>
    <t>овочі припущені з соусом "Бешамель"</t>
  </si>
  <si>
    <t>млинці безглютенові</t>
  </si>
  <si>
    <t>тапіока</t>
  </si>
  <si>
    <t>борошно рисове</t>
  </si>
  <si>
    <t>печиво горіхове безглютенове</t>
  </si>
  <si>
    <t>арахіс</t>
  </si>
  <si>
    <t>булочка з корицею безглютенова</t>
  </si>
  <si>
    <t>псиліум</t>
  </si>
  <si>
    <t>бисквіт банановий безглютеновий</t>
  </si>
  <si>
    <t>рибний закритий пиріг зі спеціями</t>
  </si>
  <si>
    <t>рибні фрикадельки</t>
  </si>
  <si>
    <t>риба тушкована у томатному соусі</t>
  </si>
  <si>
    <t>рибні стіки</t>
  </si>
  <si>
    <t>рибні котлети</t>
  </si>
  <si>
    <t>риба запечена з морквою та цибулею під соусом " Бешамель"</t>
  </si>
  <si>
    <t>рибні нагетси</t>
  </si>
  <si>
    <t>чахохбілі з куркою</t>
  </si>
  <si>
    <t>шпундра з куркою</t>
  </si>
  <si>
    <t>курка запечена  в соусі"Імбирному"</t>
  </si>
  <si>
    <t>борошно нутове</t>
  </si>
  <si>
    <t>курячий шніцель</t>
  </si>
  <si>
    <t>курка по-італійськи</t>
  </si>
  <si>
    <t>курячі нагетси</t>
  </si>
  <si>
    <t>котлета по-міланськи з сиром</t>
  </si>
  <si>
    <t>чілі кон карне з куркою</t>
  </si>
  <si>
    <t>плов з курячим м'ясом</t>
  </si>
  <si>
    <t>куліш з курячим м'ясом</t>
  </si>
  <si>
    <t>пастуший пиріг з курячим м'ясом</t>
  </si>
  <si>
    <t>капуста тушкована з овочами та курячим м'ясом</t>
  </si>
  <si>
    <t>фритата</t>
  </si>
  <si>
    <t>сік</t>
  </si>
  <si>
    <t>яблука свіжі</t>
  </si>
  <si>
    <t>банани свіжі</t>
  </si>
  <si>
    <t>запіканка пшоняна з гарбузом</t>
  </si>
  <si>
    <t>ягідне кюлі</t>
  </si>
  <si>
    <t>пан де калатрава</t>
  </si>
  <si>
    <t>мак енд чіз</t>
  </si>
  <si>
    <t>манний пуднг</t>
  </si>
  <si>
    <t>бланманже</t>
  </si>
  <si>
    <t>оладки кукурудзяні з морквою</t>
  </si>
  <si>
    <t>панкейки бурякові</t>
  </si>
  <si>
    <t>яблуко запечене з сиром</t>
  </si>
  <si>
    <t>яблуко каркаде</t>
  </si>
  <si>
    <t>мак</t>
  </si>
  <si>
    <t>печиво цитрусове</t>
  </si>
  <si>
    <t>вареники ліниві</t>
  </si>
  <si>
    <t>печиво вівсяне</t>
  </si>
  <si>
    <t>вівсяні пластівці</t>
  </si>
  <si>
    <t>кіфлик</t>
  </si>
  <si>
    <t>сінабон з корицею</t>
  </si>
  <si>
    <t>тост з гороховим пюре і яйцем</t>
  </si>
  <si>
    <t>хліб цільнозерновий</t>
  </si>
  <si>
    <t>запіканка морквяно-яблучна</t>
  </si>
  <si>
    <t>запіканка сирна з яблуком та морквою</t>
  </si>
  <si>
    <t>запіканка сирна зі сметаною</t>
  </si>
  <si>
    <t>шуліки з маком</t>
  </si>
  <si>
    <t>запіканка сирна з бананом та сметаною</t>
  </si>
  <si>
    <t>львівський сирник з морквою та сметаною</t>
  </si>
  <si>
    <t>вегетаріанський закритий пиріг</t>
  </si>
  <si>
    <t>салат з буряком та абрикосовим соусом</t>
  </si>
  <si>
    <t>салат з огірками</t>
  </si>
  <si>
    <t>салат із свіжих помідорів та хлібу</t>
  </si>
  <si>
    <t>салат з редиски</t>
  </si>
  <si>
    <t>салат з моркви та капусти</t>
  </si>
  <si>
    <t>салат з яблуками та квашеною капустою</t>
  </si>
  <si>
    <t>салат з курячої печінки</t>
  </si>
  <si>
    <t>салат табуле з ячневою кашею</t>
  </si>
  <si>
    <t>салат з морквою та сиром</t>
  </si>
  <si>
    <t>суп з гарбузом</t>
  </si>
  <si>
    <t>мінестроне</t>
  </si>
  <si>
    <t>авголемоно</t>
  </si>
  <si>
    <t>суп овочевий</t>
  </si>
  <si>
    <t>юшка рибна</t>
  </si>
  <si>
    <t>морквяний крем-суп</t>
  </si>
  <si>
    <t>картопляний крем-суп</t>
  </si>
  <si>
    <t>суп крупою перловою або рисовою та томатом</t>
  </si>
  <si>
    <t>полтавський борщ зі сливовим варенням</t>
  </si>
  <si>
    <t>фалафель</t>
  </si>
  <si>
    <t>полента</t>
  </si>
  <si>
    <t>пюре морквяне з імбирем</t>
  </si>
  <si>
    <t>ньокі (картопляні галушки)</t>
  </si>
  <si>
    <t>картопляне пюре з соком буряка</t>
  </si>
  <si>
    <t>картопля запечена з куркумою</t>
  </si>
  <si>
    <t>пшоняна каша зі сметаною та картоплею</t>
  </si>
  <si>
    <t>картопля смажена скибочками (з вареної кавртоплі)</t>
  </si>
  <si>
    <t>картопля смажена брусочками ,часточками ,скибочками</t>
  </si>
  <si>
    <t>картопляний гратен</t>
  </si>
  <si>
    <t>товчанка</t>
  </si>
  <si>
    <t>болоньезе</t>
  </si>
  <si>
    <t>курка з паприкою</t>
  </si>
  <si>
    <t>нагетси курячі</t>
  </si>
  <si>
    <t>палички курячі</t>
  </si>
  <si>
    <t>ячневі боли</t>
  </si>
  <si>
    <t>пиріг пастуший</t>
  </si>
  <si>
    <t>кебаб з сиром</t>
  </si>
  <si>
    <t>бігос з гречкою</t>
  </si>
  <si>
    <t>печеня  "3 види овочів"</t>
  </si>
  <si>
    <t>фрикадельки м'ясні (із свинини)</t>
  </si>
  <si>
    <t>фрикадельки мясні ( із яловичини)</t>
  </si>
  <si>
    <t>фрикадельки рибні</t>
  </si>
  <si>
    <t>морквяні котлети-1</t>
  </si>
  <si>
    <t>морквяні котлети-2</t>
  </si>
  <si>
    <t>кру'пяна запіканка з сиром</t>
  </si>
  <si>
    <t>риба (філе) припущена</t>
  </si>
  <si>
    <t>бефстроганов з вареної яловичини</t>
  </si>
  <si>
    <t xml:space="preserve">гуляш із вареної яловичини </t>
  </si>
  <si>
    <t>печеня по-домашньому</t>
  </si>
  <si>
    <t>курка ,тушкована в соусі</t>
  </si>
  <si>
    <t>плов фруктовий</t>
  </si>
  <si>
    <t>рагу з карі</t>
  </si>
  <si>
    <t>шпундра</t>
  </si>
  <si>
    <t>хек запечений</t>
  </si>
  <si>
    <t>хек смажений</t>
  </si>
  <si>
    <t>бланманже (молочне желе)</t>
  </si>
  <si>
    <t>пан де калатрава (шарлотка з хліба та молока)</t>
  </si>
  <si>
    <t>яблука каркаде</t>
  </si>
  <si>
    <t>манний пудинг</t>
  </si>
  <si>
    <t>оладки кукурудзяні з яблуками</t>
  </si>
  <si>
    <t>соус каркаде</t>
  </si>
  <si>
    <t>соус томатно-імбирний</t>
  </si>
  <si>
    <t>соус вінегрет</t>
  </si>
  <si>
    <t>соус "овочевий деміглас"</t>
  </si>
  <si>
    <t>соус "кетчуп"</t>
  </si>
  <si>
    <t>соус цибулевий</t>
  </si>
  <si>
    <t>соус ягідний</t>
  </si>
  <si>
    <t>соус бешамель</t>
  </si>
  <si>
    <t>соус овочевий</t>
  </si>
  <si>
    <t>соус рибний</t>
  </si>
  <si>
    <t>соус хек</t>
  </si>
  <si>
    <t>соус молочний</t>
  </si>
  <si>
    <t>лимонад</t>
  </si>
  <si>
    <t>чай масала</t>
  </si>
  <si>
    <t>чай з мелісою</t>
  </si>
  <si>
    <t>чай з липою</t>
  </si>
  <si>
    <t>соус червоний основний</t>
  </si>
  <si>
    <t>салат зі свіжих помідорів</t>
  </si>
  <si>
    <t>салат зі свіжих помідорів з солодким перцем</t>
  </si>
  <si>
    <t>салат з овочів</t>
  </si>
  <si>
    <t>пюре морквяне з імбиром</t>
  </si>
  <si>
    <t>котлети рибні</t>
  </si>
  <si>
    <t>печеня з м'ясом</t>
  </si>
  <si>
    <t>ліниві голубці з яловичини</t>
  </si>
  <si>
    <t>омлет Скрамбл</t>
  </si>
  <si>
    <t>омлет з орегано</t>
  </si>
  <si>
    <t>омлет Скрамбл безглютен</t>
  </si>
  <si>
    <t>омлет Скрамбл безглютен з орегано</t>
  </si>
  <si>
    <t>вертута</t>
  </si>
  <si>
    <t>плов з булгуру та свинини</t>
  </si>
  <si>
    <t>болоньезе із яловичини</t>
  </si>
  <si>
    <t>чилі кон карне з яловичиною</t>
  </si>
  <si>
    <t>печеня по-домашньому з яловичиною</t>
  </si>
  <si>
    <t>бефстороганов з вареної яловичини</t>
  </si>
  <si>
    <t>гуляш із вареної яловичини</t>
  </si>
  <si>
    <t>котлети із яловичини та свинини</t>
  </si>
  <si>
    <t>китайська печеня зі свининою</t>
  </si>
  <si>
    <t>французька печеня з яловичини під соусом "Бешамель"</t>
  </si>
  <si>
    <t>верещака з яловичини</t>
  </si>
  <si>
    <t>печеня по-домашньому зі свининою</t>
  </si>
  <si>
    <t>хліб житній</t>
  </si>
  <si>
    <t>закриті бутерброди з медом</t>
  </si>
  <si>
    <t>ЦЕНА хліб цільнозерновий</t>
  </si>
  <si>
    <t>кефір</t>
  </si>
  <si>
    <t>хліб цільнозерновий завтрак</t>
  </si>
  <si>
    <t>хліб цільнозерновий обід</t>
  </si>
  <si>
    <t>хліб цільнозерновийужин</t>
  </si>
  <si>
    <t>молоко</t>
  </si>
  <si>
    <t>сік томатний</t>
  </si>
  <si>
    <t>сік фруктовий</t>
  </si>
  <si>
    <t>ЦІНА</t>
  </si>
  <si>
    <t>Квітки липи</t>
  </si>
  <si>
    <t>Кабачки свіжі</t>
  </si>
  <si>
    <t>Печінка</t>
  </si>
  <si>
    <t>Банани свіжі</t>
  </si>
  <si>
    <t>Оцет 6%</t>
  </si>
  <si>
    <t>Каркаде</t>
  </si>
  <si>
    <t>Ягоди свіжі</t>
  </si>
  <si>
    <t>Крупа кукурудзяна</t>
  </si>
  <si>
    <t>Корінь селери</t>
  </si>
  <si>
    <t>Джем, мармелад</t>
  </si>
  <si>
    <t>Меліса</t>
  </si>
  <si>
    <t>Салат зелений</t>
  </si>
  <si>
    <t>Огірки квашені</t>
  </si>
  <si>
    <t>Хліб цільнозерновий</t>
  </si>
  <si>
    <t>Борошно кукурудзяне</t>
  </si>
  <si>
    <t>Лимон свіжий</t>
  </si>
  <si>
    <t>Сода</t>
  </si>
  <si>
    <t>Перець солодкий свіжий</t>
  </si>
  <si>
    <t>Редиска свіжа</t>
  </si>
  <si>
    <t>Курага</t>
  </si>
  <si>
    <t>Горіхи волоські</t>
  </si>
  <si>
    <t>Насіння гарбуза очищене</t>
  </si>
  <si>
    <t>Насіння кунжутне</t>
  </si>
  <si>
    <t>Кориця</t>
  </si>
  <si>
    <t>Груша свіжа</t>
  </si>
  <si>
    <t>Каррі мелена</t>
  </si>
  <si>
    <t>Мускатний горіх</t>
  </si>
  <si>
    <t>Хрін білий пастеризований</t>
  </si>
  <si>
    <t>Капуста червонокачанна</t>
  </si>
  <si>
    <t>Куркума</t>
  </si>
  <si>
    <t>Кріп свіжий</t>
  </si>
  <si>
    <t>Петрушка свіжа</t>
  </si>
  <si>
    <t>Насіння фенхелю</t>
  </si>
  <si>
    <t>Орегано сухий</t>
  </si>
  <si>
    <t>М'ята сушена</t>
  </si>
  <si>
    <t>Плоди шипшини сушені</t>
  </si>
  <si>
    <t>Гвоздика</t>
  </si>
  <si>
    <t>Томатний сік</t>
  </si>
  <si>
    <t>Сочевиця</t>
  </si>
  <si>
    <t>Паприка мелена</t>
  </si>
  <si>
    <t>Сливи свіжі</t>
  </si>
  <si>
    <t>Хмелі-сунелі</t>
  </si>
  <si>
    <t>Баклажани свіжі</t>
  </si>
  <si>
    <t>Базилік сухий</t>
  </si>
  <si>
    <t>Булгур</t>
  </si>
  <si>
    <t>Чебрець сухий</t>
  </si>
  <si>
    <t>Кускус</t>
  </si>
  <si>
    <t>Кмин сухий</t>
  </si>
  <si>
    <t>Коріандр мелений</t>
  </si>
  <si>
    <t>Тапіока</t>
  </si>
  <si>
    <t>Борошно рисове</t>
  </si>
  <si>
    <t>Арахіс</t>
  </si>
  <si>
    <t>Борошно нутове</t>
  </si>
  <si>
    <t>Псиліум</t>
  </si>
  <si>
    <t>Мак</t>
  </si>
  <si>
    <t>Вівсяні пластівці</t>
  </si>
  <si>
    <t>Апельсини</t>
  </si>
  <si>
    <t>Корінь імбиря</t>
  </si>
  <si>
    <t>закритий бутерброд з джемом</t>
  </si>
  <si>
    <t>запечені кабачки  в панірувальних сухарях</t>
  </si>
  <si>
    <t xml:space="preserve">Если ошибка Н/д не убирается, в таблице ТАБ должны стоять ноли в списке </t>
  </si>
  <si>
    <t>салат з буряком та ячневою кашею</t>
  </si>
  <si>
    <t>салат зелений з з огірками та помідорами</t>
  </si>
  <si>
    <t>салат з яйцем,сиром та куркумою</t>
  </si>
  <si>
    <t>рис "Паелья"</t>
  </si>
  <si>
    <t>минтай запечений у соусі "Бешамель"</t>
  </si>
  <si>
    <t>буряк, тушкований з яблуками</t>
  </si>
  <si>
    <t>томатний сік</t>
  </si>
  <si>
    <t>корінь імбиря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</si>
  <si>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</si>
  <si>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Выдал кладовщик   Смарчкова А.А.</t>
  </si>
  <si>
    <t>Бухгалтер    Яковенко Г.В.</t>
  </si>
  <si>
    <t>запечене філе курки з орегано</t>
  </si>
  <si>
    <t xml:space="preserve">кебаб з сиром 2 разних. </t>
  </si>
  <si>
    <t>мусака 2 штуки разні віхода</t>
  </si>
  <si>
    <t>плов з булгуру проверить віхода</t>
  </si>
  <si>
    <t>салат з гарбузом, насінням та зеленим горошком</t>
  </si>
  <si>
    <t>салат з гарбузом, насінням та зеленим горошком добавить везде</t>
  </si>
  <si>
    <t>салат з буряком ,селерою та сиром немає виходов</t>
  </si>
  <si>
    <t>салат капустою та огірками зі сметаною немає вообще. Добавить страву</t>
  </si>
  <si>
    <t>ячневі боли провірить шо входить</t>
  </si>
  <si>
    <t>мак енд чіз  немає мяса</t>
  </si>
  <si>
    <t>ЗАВТРАК</t>
  </si>
  <si>
    <t>ОБЕД</t>
  </si>
  <si>
    <t>ПОЛДНИК</t>
  </si>
  <si>
    <t>УЖИН</t>
  </si>
  <si>
    <t>чай и каркаде</t>
  </si>
  <si>
    <t>35/50</t>
  </si>
  <si>
    <t>70/50</t>
  </si>
  <si>
    <t>0,,2</t>
  </si>
  <si>
    <t>манний пудинг 2 штуки</t>
  </si>
  <si>
    <t>рис з кмином немає</t>
  </si>
  <si>
    <t>рис розсипчатий з орегано немає</t>
  </si>
  <si>
    <t>салат з редиски немає</t>
  </si>
  <si>
    <t>салат зі свіжих помідорів з солодким перцем разні назви. 2 страви</t>
  </si>
  <si>
    <t>гуляш із вареної яловичини проврірить вихода 2 штуки</t>
  </si>
  <si>
    <t>горохове пюре з зеленого гороху поставить вихода</t>
  </si>
  <si>
    <t>печеня по-домашньому з куркою немає</t>
  </si>
  <si>
    <t>в страву "сік" входить томатний сік</t>
  </si>
  <si>
    <t>бублики</t>
  </si>
  <si>
    <t>масло топлене</t>
  </si>
  <si>
    <t>консерва рибна</t>
  </si>
  <si>
    <t>ковбаса варена</t>
  </si>
  <si>
    <t>маргарин</t>
  </si>
  <si>
    <t>молоко згущене</t>
  </si>
  <si>
    <t>цукерки фруктово-ягідні</t>
  </si>
  <si>
    <t>печиво різне</t>
  </si>
  <si>
    <t>огірки квашені</t>
  </si>
  <si>
    <t>ікра кабачкова</t>
  </si>
  <si>
    <t>гарбуз свіжий</t>
  </si>
  <si>
    <t>кавовий напій</t>
  </si>
  <si>
    <t>салат зелений з з огірками та помідорами немаэ виходів</t>
  </si>
  <si>
    <t xml:space="preserve">завтрак1 </t>
  </si>
  <si>
    <t>завтрак2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</si>
  <si>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</si>
  <si>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хліб пшеничнийзавтрак</t>
  </si>
  <si>
    <t>хліб обід пшеничний</t>
  </si>
  <si>
    <t>хліб пшеничний ужин</t>
  </si>
  <si>
    <t>молодші 6-11 р.</t>
  </si>
  <si>
    <t xml:space="preserve">     на  "09" лютого  2022 р.</t>
  </si>
  <si>
    <r>
      <t>"</t>
    </r>
    <r>
      <rPr>
        <u val="single"/>
        <sz val="20"/>
        <rFont val="Arial Cyr"/>
        <family val="0"/>
      </rPr>
      <t xml:space="preserve">   08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22     </t>
    </r>
    <r>
      <rPr>
        <sz val="20"/>
        <rFont val="Arial Cyr"/>
        <family val="0"/>
      </rPr>
      <t>г.</t>
    </r>
  </si>
  <si>
    <t>помідори квашені</t>
  </si>
  <si>
    <t>узввр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</si>
</sst>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0&quot;₴&quot;"/>
    <numFmt numFmtId="212" formatCode="[$-FC19]d\ mmmm\ yyyy\ &quot;г.&quot;"/>
  </numFmts>
  <fonts count="66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24"/>
      <name val="Arial Cyr"/>
      <family val="0"/>
    </font>
    <font>
      <sz val="14"/>
      <name val="Times New Roman"/>
      <family val="1"/>
    </font>
    <font>
      <b/>
      <sz val="20"/>
      <name val="Arial"/>
      <family val="2"/>
    </font>
    <font>
      <sz val="18"/>
      <name val="Times New Roman"/>
      <family val="1"/>
    </font>
    <font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 style="thick">
        <color rgb="FF00B050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 style="thick">
        <color rgb="FF00B050"/>
      </right>
      <top style="thick">
        <color rgb="FF00B050"/>
      </top>
      <bottom style="thick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0" fontId="12" fillId="0" borderId="17" xfId="0" applyNumberFormat="1" applyFont="1" applyBorder="1" applyAlignment="1">
      <alignment horizontal="center" vertical="center" wrapText="1"/>
    </xf>
    <xf numFmtId="210" fontId="12" fillId="0" borderId="15" xfId="0" applyNumberFormat="1" applyFont="1" applyBorder="1" applyAlignment="1">
      <alignment horizontal="center" vertical="center" wrapText="1"/>
    </xf>
    <xf numFmtId="210" fontId="12" fillId="0" borderId="16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textRotation="90" wrapText="1"/>
    </xf>
    <xf numFmtId="2" fontId="25" fillId="0" borderId="10" xfId="0" applyNumberFormat="1" applyFont="1" applyBorder="1" applyAlignment="1">
      <alignment horizontal="center" vertical="center" textRotation="90" wrapText="1"/>
    </xf>
    <xf numFmtId="0" fontId="25" fillId="0" borderId="10" xfId="0" applyNumberFormat="1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5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0" fontId="12" fillId="0" borderId="27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0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1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12" fillId="0" borderId="18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2" fillId="0" borderId="0" xfId="0" applyFont="1" applyAlignment="1">
      <alignment vertical="center"/>
    </xf>
    <xf numFmtId="0" fontId="25" fillId="0" borderId="13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vertical="top" wrapText="1"/>
    </xf>
    <xf numFmtId="0" fontId="13" fillId="0" borderId="23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210" fontId="12" fillId="0" borderId="14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vertical="top" wrapText="1"/>
    </xf>
    <xf numFmtId="0" fontId="19" fillId="0" borderId="19" xfId="0" applyFont="1" applyBorder="1" applyAlignment="1">
      <alignment horizontal="left" wrapText="1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24" fillId="0" borderId="19" xfId="0" applyNumberFormat="1" applyFont="1" applyBorder="1" applyAlignment="1">
      <alignment horizontal="right" vertical="center"/>
    </xf>
    <xf numFmtId="2" fontId="23" fillId="0" borderId="18" xfId="0" applyNumberFormat="1" applyFont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0" fontId="23" fillId="0" borderId="11" xfId="0" applyNumberFormat="1" applyFont="1" applyBorder="1" applyAlignment="1">
      <alignment horizontal="center" vertical="center" wrapText="1"/>
    </xf>
    <xf numFmtId="210" fontId="23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10" fontId="29" fillId="0" borderId="11" xfId="0" applyNumberFormat="1" applyFont="1" applyBorder="1" applyAlignment="1">
      <alignment horizontal="center" vertical="center" wrapText="1"/>
    </xf>
    <xf numFmtId="210" fontId="29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209" fontId="15" fillId="0" borderId="23" xfId="0" applyNumberFormat="1" applyFont="1" applyBorder="1" applyAlignment="1">
      <alignment horizontal="center" vertical="center"/>
    </xf>
    <xf numFmtId="209" fontId="15" fillId="0" borderId="20" xfId="0" applyNumberFormat="1" applyFont="1" applyBorder="1" applyAlignment="1">
      <alignment horizontal="center" vertical="center"/>
    </xf>
    <xf numFmtId="209" fontId="15" fillId="0" borderId="24" xfId="0" applyNumberFormat="1" applyFont="1" applyBorder="1" applyAlignment="1">
      <alignment horizontal="center" vertical="center"/>
    </xf>
    <xf numFmtId="209" fontId="15" fillId="0" borderId="22" xfId="0" applyNumberFormat="1" applyFont="1" applyBorder="1" applyAlignment="1">
      <alignment horizontal="center" vertical="center"/>
    </xf>
    <xf numFmtId="209" fontId="15" fillId="0" borderId="14" xfId="0" applyNumberFormat="1" applyFont="1" applyBorder="1" applyAlignment="1">
      <alignment horizontal="center" vertical="center"/>
    </xf>
    <xf numFmtId="209" fontId="15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0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210" fontId="23" fillId="0" borderId="16" xfId="0" applyNumberFormat="1" applyFont="1" applyBorder="1" applyAlignment="1">
      <alignment horizontal="center" vertical="center" wrapText="1"/>
    </xf>
    <xf numFmtId="210" fontId="23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31.emf" /><Relationship Id="rId3" Type="http://schemas.openxmlformats.org/officeDocument/2006/relationships/image" Target="../media/image18.emf" /><Relationship Id="rId4" Type="http://schemas.openxmlformats.org/officeDocument/2006/relationships/image" Target="../media/image30.emf" /><Relationship Id="rId5" Type="http://schemas.openxmlformats.org/officeDocument/2006/relationships/image" Target="../media/image29.emf" /><Relationship Id="rId6" Type="http://schemas.openxmlformats.org/officeDocument/2006/relationships/image" Target="../media/image27.emf" /><Relationship Id="rId7" Type="http://schemas.openxmlformats.org/officeDocument/2006/relationships/image" Target="../media/image1.emf" /><Relationship Id="rId8" Type="http://schemas.openxmlformats.org/officeDocument/2006/relationships/image" Target="../media/image28.emf" /><Relationship Id="rId9" Type="http://schemas.openxmlformats.org/officeDocument/2006/relationships/image" Target="../media/image24.emf" /><Relationship Id="rId10" Type="http://schemas.openxmlformats.org/officeDocument/2006/relationships/image" Target="../media/image22.emf" /><Relationship Id="rId11" Type="http://schemas.openxmlformats.org/officeDocument/2006/relationships/image" Target="../media/image26.emf" /><Relationship Id="rId12" Type="http://schemas.openxmlformats.org/officeDocument/2006/relationships/image" Target="../media/image20.emf" /><Relationship Id="rId13" Type="http://schemas.openxmlformats.org/officeDocument/2006/relationships/image" Target="../media/image35.emf" /><Relationship Id="rId14" Type="http://schemas.openxmlformats.org/officeDocument/2006/relationships/image" Target="../media/image40.emf" /><Relationship Id="rId15" Type="http://schemas.openxmlformats.org/officeDocument/2006/relationships/image" Target="../media/image39.emf" /><Relationship Id="rId16" Type="http://schemas.openxmlformats.org/officeDocument/2006/relationships/image" Target="../media/image19.emf" /><Relationship Id="rId17" Type="http://schemas.openxmlformats.org/officeDocument/2006/relationships/image" Target="../media/image38.emf" /><Relationship Id="rId18" Type="http://schemas.openxmlformats.org/officeDocument/2006/relationships/image" Target="../media/image37.emf" /><Relationship Id="rId19" Type="http://schemas.openxmlformats.org/officeDocument/2006/relationships/image" Target="../media/image36.emf" /><Relationship Id="rId20" Type="http://schemas.openxmlformats.org/officeDocument/2006/relationships/image" Target="../media/image25.emf" /><Relationship Id="rId21" Type="http://schemas.openxmlformats.org/officeDocument/2006/relationships/image" Target="../media/image23.emf" /><Relationship Id="rId22" Type="http://schemas.openxmlformats.org/officeDocument/2006/relationships/image" Target="../media/image21.emf" /><Relationship Id="rId23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5124450"/>
          <a:ext cx="496252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6153150"/>
          <a:ext cx="496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667375"/>
          <a:ext cx="496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514350</xdr:colOff>
      <xdr:row>0</xdr:row>
      <xdr:rowOff>171450</xdr:rowOff>
    </xdr:from>
    <xdr:to>
      <xdr:col>35</xdr:col>
      <xdr:colOff>495300</xdr:colOff>
      <xdr:row>7</xdr:row>
      <xdr:rowOff>285750</xdr:rowOff>
    </xdr:to>
    <xdr:pic>
      <xdr:nvPicPr>
        <xdr:cNvPr id="4" name="Picture 2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56950" y="171450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39</xdr:row>
      <xdr:rowOff>9525</xdr:rowOff>
    </xdr:from>
    <xdr:to>
      <xdr:col>11</xdr:col>
      <xdr:colOff>504825</xdr:colOff>
      <xdr:row>43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905625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</xdr:row>
      <xdr:rowOff>123825</xdr:rowOff>
    </xdr:from>
    <xdr:to>
      <xdr:col>25</xdr:col>
      <xdr:colOff>571500</xdr:colOff>
      <xdr:row>7</xdr:row>
      <xdr:rowOff>114300</xdr:rowOff>
    </xdr:to>
    <xdr:pic>
      <xdr:nvPicPr>
        <xdr:cNvPr id="2" name="Combo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63200" y="118110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9</xdr:row>
      <xdr:rowOff>0</xdr:rowOff>
    </xdr:from>
    <xdr:to>
      <xdr:col>25</xdr:col>
      <xdr:colOff>571500</xdr:colOff>
      <xdr:row>13</xdr:row>
      <xdr:rowOff>0</xdr:rowOff>
    </xdr:to>
    <xdr:pic>
      <xdr:nvPicPr>
        <xdr:cNvPr id="3" name="Combo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363200" y="203835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</xdr:colOff>
      <xdr:row>14</xdr:row>
      <xdr:rowOff>0</xdr:rowOff>
    </xdr:from>
    <xdr:to>
      <xdr:col>25</xdr:col>
      <xdr:colOff>581025</xdr:colOff>
      <xdr:row>18</xdr:row>
      <xdr:rowOff>0</xdr:rowOff>
    </xdr:to>
    <xdr:pic>
      <xdr:nvPicPr>
        <xdr:cNvPr id="4" name="Combo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0372725" y="284797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600075</xdr:colOff>
      <xdr:row>18</xdr:row>
      <xdr:rowOff>152400</xdr:rowOff>
    </xdr:from>
    <xdr:to>
      <xdr:col>25</xdr:col>
      <xdr:colOff>561975</xdr:colOff>
      <xdr:row>22</xdr:row>
      <xdr:rowOff>142875</xdr:rowOff>
    </xdr:to>
    <xdr:pic>
      <xdr:nvPicPr>
        <xdr:cNvPr id="5" name="Combo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0353675" y="3648075"/>
          <a:ext cx="54483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600075</xdr:colOff>
      <xdr:row>24</xdr:row>
      <xdr:rowOff>0</xdr:rowOff>
    </xdr:from>
    <xdr:to>
      <xdr:col>25</xdr:col>
      <xdr:colOff>561975</xdr:colOff>
      <xdr:row>28</xdr:row>
      <xdr:rowOff>0</xdr:rowOff>
    </xdr:to>
    <xdr:pic>
      <xdr:nvPicPr>
        <xdr:cNvPr id="6" name="Combo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0353675" y="446722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29</xdr:row>
      <xdr:rowOff>0</xdr:rowOff>
    </xdr:from>
    <xdr:to>
      <xdr:col>25</xdr:col>
      <xdr:colOff>571500</xdr:colOff>
      <xdr:row>33</xdr:row>
      <xdr:rowOff>0</xdr:rowOff>
    </xdr:to>
    <xdr:pic>
      <xdr:nvPicPr>
        <xdr:cNvPr id="7" name="ComboBox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0363200" y="527685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34</xdr:row>
      <xdr:rowOff>9525</xdr:rowOff>
    </xdr:from>
    <xdr:to>
      <xdr:col>25</xdr:col>
      <xdr:colOff>571500</xdr:colOff>
      <xdr:row>38</xdr:row>
      <xdr:rowOff>0</xdr:rowOff>
    </xdr:to>
    <xdr:pic>
      <xdr:nvPicPr>
        <xdr:cNvPr id="8" name="ComboBox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0363200" y="6096000"/>
          <a:ext cx="54483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39</xdr:row>
      <xdr:rowOff>9525</xdr:rowOff>
    </xdr:from>
    <xdr:to>
      <xdr:col>25</xdr:col>
      <xdr:colOff>571500</xdr:colOff>
      <xdr:row>43</xdr:row>
      <xdr:rowOff>9525</xdr:rowOff>
    </xdr:to>
    <xdr:pic>
      <xdr:nvPicPr>
        <xdr:cNvPr id="9" name="ComboBox9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0363200" y="690562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9525</xdr:colOff>
      <xdr:row>4</xdr:row>
      <xdr:rowOff>9525</xdr:rowOff>
    </xdr:from>
    <xdr:to>
      <xdr:col>37</xdr:col>
      <xdr:colOff>504825</xdr:colOff>
      <xdr:row>8</xdr:row>
      <xdr:rowOff>0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687925" y="12382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600075</xdr:colOff>
      <xdr:row>9</xdr:row>
      <xdr:rowOff>19050</xdr:rowOff>
    </xdr:from>
    <xdr:to>
      <xdr:col>37</xdr:col>
      <xdr:colOff>485775</xdr:colOff>
      <xdr:row>13</xdr:row>
      <xdr:rowOff>9525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668875" y="20574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9525</xdr:colOff>
      <xdr:row>14</xdr:row>
      <xdr:rowOff>0</xdr:rowOff>
    </xdr:from>
    <xdr:to>
      <xdr:col>37</xdr:col>
      <xdr:colOff>504825</xdr:colOff>
      <xdr:row>17</xdr:row>
      <xdr:rowOff>142875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687925" y="284797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600075</xdr:colOff>
      <xdr:row>3</xdr:row>
      <xdr:rowOff>152400</xdr:rowOff>
    </xdr:from>
    <xdr:to>
      <xdr:col>48</xdr:col>
      <xdr:colOff>485775</xdr:colOff>
      <xdr:row>7</xdr:row>
      <xdr:rowOff>123825</xdr:rowOff>
    </xdr:to>
    <xdr:pic>
      <xdr:nvPicPr>
        <xdr:cNvPr id="13" name="ComboBox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374475" y="120967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8</xdr:row>
      <xdr:rowOff>152400</xdr:rowOff>
    </xdr:from>
    <xdr:to>
      <xdr:col>48</xdr:col>
      <xdr:colOff>495300</xdr:colOff>
      <xdr:row>12</xdr:row>
      <xdr:rowOff>133350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384000" y="202882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600075</xdr:colOff>
      <xdr:row>14</xdr:row>
      <xdr:rowOff>9525</xdr:rowOff>
    </xdr:from>
    <xdr:to>
      <xdr:col>48</xdr:col>
      <xdr:colOff>485775</xdr:colOff>
      <xdr:row>18</xdr:row>
      <xdr:rowOff>0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374475" y="28575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19</xdr:row>
      <xdr:rowOff>0</xdr:rowOff>
    </xdr:from>
    <xdr:to>
      <xdr:col>48</xdr:col>
      <xdr:colOff>523875</xdr:colOff>
      <xdr:row>22</xdr:row>
      <xdr:rowOff>152400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393525" y="3657600"/>
          <a:ext cx="539115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24</xdr:row>
      <xdr:rowOff>9525</xdr:rowOff>
    </xdr:from>
    <xdr:to>
      <xdr:col>48</xdr:col>
      <xdr:colOff>495300</xdr:colOff>
      <xdr:row>28</xdr:row>
      <xdr:rowOff>9525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384000" y="4476750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29</xdr:row>
      <xdr:rowOff>9525</xdr:rowOff>
    </xdr:from>
    <xdr:to>
      <xdr:col>48</xdr:col>
      <xdr:colOff>495300</xdr:colOff>
      <xdr:row>33</xdr:row>
      <xdr:rowOff>9525</xdr:rowOff>
    </xdr:to>
    <xdr:pic>
      <xdr:nvPicPr>
        <xdr:cNvPr id="18" name="ComboBox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384000" y="52863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34</xdr:row>
      <xdr:rowOff>0</xdr:rowOff>
    </xdr:from>
    <xdr:to>
      <xdr:col>48</xdr:col>
      <xdr:colOff>504825</xdr:colOff>
      <xdr:row>38</xdr:row>
      <xdr:rowOff>0</xdr:rowOff>
    </xdr:to>
    <xdr:pic>
      <xdr:nvPicPr>
        <xdr:cNvPr id="19" name="ComboBox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393525" y="60864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38</xdr:row>
      <xdr:rowOff>152400</xdr:rowOff>
    </xdr:from>
    <xdr:to>
      <xdr:col>48</xdr:col>
      <xdr:colOff>504825</xdr:colOff>
      <xdr:row>42</xdr:row>
      <xdr:rowOff>152400</xdr:rowOff>
    </xdr:to>
    <xdr:pic>
      <xdr:nvPicPr>
        <xdr:cNvPr id="20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393525" y="68865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9</xdr:row>
      <xdr:rowOff>0</xdr:rowOff>
    </xdr:from>
    <xdr:to>
      <xdr:col>11</xdr:col>
      <xdr:colOff>495300</xdr:colOff>
      <xdr:row>13</xdr:row>
      <xdr:rowOff>0</xdr:rowOff>
    </xdr:to>
    <xdr:pic>
      <xdr:nvPicPr>
        <xdr:cNvPr id="21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19275" y="2038350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14</xdr:row>
      <xdr:rowOff>0</xdr:rowOff>
    </xdr:from>
    <xdr:to>
      <xdr:col>11</xdr:col>
      <xdr:colOff>504825</xdr:colOff>
      <xdr:row>18</xdr:row>
      <xdr:rowOff>0</xdr:rowOff>
    </xdr:to>
    <xdr:pic>
      <xdr:nvPicPr>
        <xdr:cNvPr id="22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28800" y="2847975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590550</xdr:colOff>
      <xdr:row>18</xdr:row>
      <xdr:rowOff>142875</xdr:rowOff>
    </xdr:from>
    <xdr:to>
      <xdr:col>11</xdr:col>
      <xdr:colOff>485775</xdr:colOff>
      <xdr:row>22</xdr:row>
      <xdr:rowOff>142875</xdr:rowOff>
    </xdr:to>
    <xdr:pic>
      <xdr:nvPicPr>
        <xdr:cNvPr id="23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0" y="3638550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23</xdr:row>
      <xdr:rowOff>152400</xdr:rowOff>
    </xdr:from>
    <xdr:to>
      <xdr:col>11</xdr:col>
      <xdr:colOff>476250</xdr:colOff>
      <xdr:row>27</xdr:row>
      <xdr:rowOff>114300</xdr:rowOff>
    </xdr:to>
    <xdr:pic>
      <xdr:nvPicPr>
        <xdr:cNvPr id="24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19275" y="445770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29</xdr:row>
      <xdr:rowOff>19050</xdr:rowOff>
    </xdr:from>
    <xdr:to>
      <xdr:col>11</xdr:col>
      <xdr:colOff>495300</xdr:colOff>
      <xdr:row>33</xdr:row>
      <xdr:rowOff>0</xdr:rowOff>
    </xdr:to>
    <xdr:pic>
      <xdr:nvPicPr>
        <xdr:cNvPr id="25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19275" y="5295900"/>
          <a:ext cx="5381625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34</xdr:row>
      <xdr:rowOff>19050</xdr:rowOff>
    </xdr:from>
    <xdr:to>
      <xdr:col>11</xdr:col>
      <xdr:colOff>504825</xdr:colOff>
      <xdr:row>38</xdr:row>
      <xdr:rowOff>19050</xdr:rowOff>
    </xdr:to>
    <xdr:pic>
      <xdr:nvPicPr>
        <xdr:cNvPr id="26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28800" y="6105525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4</xdr:row>
      <xdr:rowOff>0</xdr:rowOff>
    </xdr:from>
    <xdr:to>
      <xdr:col>11</xdr:col>
      <xdr:colOff>485775</xdr:colOff>
      <xdr:row>8</xdr:row>
      <xdr:rowOff>0</xdr:rowOff>
    </xdr:to>
    <xdr:pic>
      <xdr:nvPicPr>
        <xdr:cNvPr id="27" name="ComboBox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19275" y="122872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M451"/>
  <sheetViews>
    <sheetView showZeros="0" tabSelected="1" view="pageBreakPreview" zoomScale="50" zoomScaleNormal="40" zoomScaleSheetLayoutView="50" zoomScalePageLayoutView="19" workbookViewId="0" topLeftCell="R1">
      <selection activeCell="AH1" sqref="AH1:AN1"/>
    </sheetView>
  </sheetViews>
  <sheetFormatPr defaultColWidth="9.140625" defaultRowHeight="12.75"/>
  <cols>
    <col min="1" max="22" width="15.7109375" style="0" customWidth="1"/>
    <col min="23" max="39" width="17.7109375" style="0" customWidth="1"/>
    <col min="40" max="40" width="21.2812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85156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69" ht="27" customHeight="1">
      <c r="A1" s="232" t="s">
        <v>67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8"/>
      <c r="U1" s="169" t="s">
        <v>70</v>
      </c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3"/>
      <c r="AG1" s="40"/>
      <c r="AH1" s="165" t="s">
        <v>80</v>
      </c>
      <c r="AI1" s="165"/>
      <c r="AJ1" s="165"/>
      <c r="AK1" s="165"/>
      <c r="AL1" s="165"/>
      <c r="AM1" s="165"/>
      <c r="AN1" s="165"/>
      <c r="AQ1" s="54"/>
      <c r="AR1">
        <v>1</v>
      </c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 t="s">
        <v>265</v>
      </c>
      <c r="FK1" s="54" t="s">
        <v>301</v>
      </c>
      <c r="FL1" s="54" t="s">
        <v>305</v>
      </c>
      <c r="FM1" s="54" t="s">
        <v>309</v>
      </c>
    </row>
    <row r="2" spans="1:129" ht="21" customHeight="1">
      <c r="A2" s="236" t="s">
        <v>68</v>
      </c>
      <c r="B2" s="237"/>
      <c r="C2" s="173" t="s">
        <v>69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5"/>
      <c r="AG2" s="166" t="s">
        <v>81</v>
      </c>
      <c r="AH2" s="167"/>
      <c r="AI2" s="167"/>
      <c r="AJ2" s="167"/>
      <c r="AK2" s="167"/>
      <c r="AL2" s="167"/>
      <c r="AM2" s="167"/>
      <c r="AN2" s="167"/>
      <c r="AQ2" s="55"/>
      <c r="AR2">
        <v>2</v>
      </c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</row>
    <row r="3" spans="1:129" ht="15" customHeight="1">
      <c r="A3" s="238"/>
      <c r="B3" s="239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5"/>
      <c r="AG3" s="5"/>
      <c r="AH3" s="5"/>
      <c r="AI3" s="5"/>
      <c r="AJ3" s="5"/>
      <c r="AK3" s="16"/>
      <c r="AL3" s="16"/>
      <c r="AQ3" s="55"/>
      <c r="AR3">
        <v>3</v>
      </c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</row>
    <row r="4" spans="1:129" ht="15" customHeight="1">
      <c r="A4" s="238"/>
      <c r="B4" s="239"/>
      <c r="C4" s="173"/>
      <c r="D4" s="173"/>
      <c r="E4" s="173"/>
      <c r="F4" s="173" t="s">
        <v>91</v>
      </c>
      <c r="G4" s="173"/>
      <c r="H4" s="173" t="s">
        <v>92</v>
      </c>
      <c r="I4" s="173"/>
      <c r="J4" s="173"/>
      <c r="K4" s="173" t="s">
        <v>93</v>
      </c>
      <c r="L4" s="173"/>
      <c r="M4" s="173"/>
      <c r="N4" s="173" t="s">
        <v>94</v>
      </c>
      <c r="O4" s="173"/>
      <c r="P4" s="173"/>
      <c r="Q4" s="173"/>
      <c r="R4" s="173"/>
      <c r="S4" s="173"/>
      <c r="T4" s="5"/>
      <c r="U4" s="168" t="s">
        <v>71</v>
      </c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70" t="s">
        <v>541</v>
      </c>
      <c r="AG4" s="170"/>
      <c r="AH4" s="170"/>
      <c r="AI4" s="170"/>
      <c r="AJ4" s="170"/>
      <c r="AK4" s="170"/>
      <c r="AL4" s="170"/>
      <c r="AM4" s="170"/>
      <c r="AN4" s="170"/>
      <c r="AQ4" s="55"/>
      <c r="AR4">
        <v>4</v>
      </c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</row>
    <row r="5" spans="1:129" ht="15" customHeight="1">
      <c r="A5" s="240"/>
      <c r="B5" s="241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5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70"/>
      <c r="AG5" s="170"/>
      <c r="AH5" s="170"/>
      <c r="AI5" s="170"/>
      <c r="AJ5" s="170"/>
      <c r="AK5" s="170"/>
      <c r="AL5" s="170"/>
      <c r="AM5" s="170"/>
      <c r="AN5" s="170"/>
      <c r="AQ5" s="55"/>
      <c r="AR5">
        <v>5</v>
      </c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</row>
    <row r="6" spans="1:129" ht="24.75" customHeight="1">
      <c r="A6" s="242"/>
      <c r="B6" s="243"/>
      <c r="C6" s="249" t="s">
        <v>88</v>
      </c>
      <c r="D6" s="249"/>
      <c r="E6" s="249"/>
      <c r="F6" s="198">
        <f>AVERAGE(завтракл,обідл,ужинл,завтракл2,полдникл)</f>
        <v>20</v>
      </c>
      <c r="G6" s="19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5"/>
      <c r="U6" s="168" t="s">
        <v>546</v>
      </c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5"/>
      <c r="AG6" s="5"/>
      <c r="AH6" s="17"/>
      <c r="AI6" s="5"/>
      <c r="AJ6" s="4"/>
      <c r="AK6" s="16"/>
      <c r="AL6" s="16"/>
      <c r="AQ6" s="55"/>
      <c r="AR6">
        <v>6</v>
      </c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</row>
    <row r="7" spans="1:129" ht="24.75" customHeight="1">
      <c r="A7" s="244"/>
      <c r="B7" s="245"/>
      <c r="C7" s="249"/>
      <c r="D7" s="249"/>
      <c r="E7" s="249"/>
      <c r="F7" s="200"/>
      <c r="G7" s="201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5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212" t="s">
        <v>547</v>
      </c>
      <c r="AG7" s="212"/>
      <c r="AH7" s="212"/>
      <c r="AI7" s="212"/>
      <c r="AJ7" s="212"/>
      <c r="AK7" s="212"/>
      <c r="AL7" s="212"/>
      <c r="AM7" s="212"/>
      <c r="AN7" s="212"/>
      <c r="AQ7" s="55"/>
      <c r="AR7">
        <v>7</v>
      </c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</row>
    <row r="8" spans="1:129" ht="24.75" customHeight="1">
      <c r="A8" s="244"/>
      <c r="B8" s="245"/>
      <c r="C8" s="249"/>
      <c r="D8" s="249"/>
      <c r="E8" s="249"/>
      <c r="F8" s="202"/>
      <c r="G8" s="203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13"/>
      <c r="U8" s="13"/>
      <c r="V8" s="13"/>
      <c r="W8" s="13"/>
      <c r="X8" s="13"/>
      <c r="Y8" s="5"/>
      <c r="Z8" s="9"/>
      <c r="AA8" s="9"/>
      <c r="AB8" s="9"/>
      <c r="AC8" s="9"/>
      <c r="AD8" s="9"/>
      <c r="AE8" s="9"/>
      <c r="AF8" s="9"/>
      <c r="AG8" s="9"/>
      <c r="AH8" s="17"/>
      <c r="AI8" s="5"/>
      <c r="AJ8" s="9"/>
      <c r="AK8" s="16"/>
      <c r="AL8" s="16"/>
      <c r="AQ8" s="55"/>
      <c r="AR8">
        <v>8</v>
      </c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</row>
    <row r="9" spans="1:129" ht="24.75" customHeight="1">
      <c r="A9" s="244"/>
      <c r="B9" s="245"/>
      <c r="C9" s="174" t="s">
        <v>89</v>
      </c>
      <c r="D9" s="174"/>
      <c r="E9" s="174"/>
      <c r="F9" s="175"/>
      <c r="G9" s="175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3"/>
      <c r="U9" s="13"/>
      <c r="V9" s="13"/>
      <c r="W9" s="13"/>
      <c r="X9" s="251" t="s">
        <v>545</v>
      </c>
      <c r="Y9" s="251"/>
      <c r="Z9" s="251"/>
      <c r="AA9" s="251"/>
      <c r="AB9" s="251"/>
      <c r="AC9" s="251"/>
      <c r="AD9" s="5"/>
      <c r="AE9" s="250" t="s">
        <v>86</v>
      </c>
      <c r="AF9" s="250"/>
      <c r="AG9" s="250" t="s">
        <v>85</v>
      </c>
      <c r="AH9" s="250"/>
      <c r="AI9" s="250" t="s">
        <v>84</v>
      </c>
      <c r="AJ9" s="250"/>
      <c r="AK9" s="250" t="s">
        <v>83</v>
      </c>
      <c r="AL9" s="250"/>
      <c r="AM9" s="250" t="s">
        <v>82</v>
      </c>
      <c r="AN9" s="250"/>
      <c r="AQ9" s="55"/>
      <c r="AR9">
        <v>9</v>
      </c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</row>
    <row r="10" spans="1:129" ht="37.5" customHeight="1">
      <c r="A10" s="244"/>
      <c r="B10" s="245"/>
      <c r="C10" s="174"/>
      <c r="D10" s="174"/>
      <c r="E10" s="174"/>
      <c r="F10" s="175"/>
      <c r="G10" s="175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3"/>
      <c r="U10" s="13"/>
      <c r="V10" s="13"/>
      <c r="W10" s="13"/>
      <c r="X10" s="251"/>
      <c r="Y10" s="251"/>
      <c r="Z10" s="251"/>
      <c r="AA10" s="251"/>
      <c r="AB10" s="251"/>
      <c r="AC10" s="251"/>
      <c r="AD10" s="9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Q10" s="55"/>
      <c r="AR10">
        <v>10</v>
      </c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</row>
    <row r="11" spans="1:129" ht="24.75" customHeight="1">
      <c r="A11" s="244"/>
      <c r="B11" s="245"/>
      <c r="C11" s="174"/>
      <c r="D11" s="174"/>
      <c r="E11" s="174"/>
      <c r="F11" s="175"/>
      <c r="G11" s="175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3"/>
      <c r="U11" s="13"/>
      <c r="V11" s="13"/>
      <c r="W11" s="13"/>
      <c r="X11" s="251"/>
      <c r="Y11" s="251"/>
      <c r="Z11" s="251"/>
      <c r="AA11" s="251"/>
      <c r="AB11" s="251"/>
      <c r="AC11" s="251"/>
      <c r="AD11" s="4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Q11" s="55"/>
      <c r="AR11">
        <v>11</v>
      </c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</row>
    <row r="12" spans="1:129" ht="16.5" customHeight="1">
      <c r="A12" s="244"/>
      <c r="B12" s="245"/>
      <c r="C12" s="174"/>
      <c r="D12" s="174"/>
      <c r="E12" s="174"/>
      <c r="F12" s="175"/>
      <c r="G12" s="175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3"/>
      <c r="U12" s="13"/>
      <c r="V12" s="13"/>
      <c r="W12" s="13"/>
      <c r="X12" s="13"/>
      <c r="Y12" s="5"/>
      <c r="Z12" s="9"/>
      <c r="AA12" s="9"/>
      <c r="AB12" s="9"/>
      <c r="AC12" s="9"/>
      <c r="AD12" s="9"/>
      <c r="AE12" s="9"/>
      <c r="AF12" s="9"/>
      <c r="AG12" s="9"/>
      <c r="AH12" s="4"/>
      <c r="AI12" s="5"/>
      <c r="AJ12" s="9"/>
      <c r="AK12" s="16"/>
      <c r="AL12" s="16"/>
      <c r="AQ12" s="55"/>
      <c r="AR12">
        <v>12</v>
      </c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</row>
    <row r="13" spans="1:129" ht="24.75" customHeight="1">
      <c r="A13" s="244"/>
      <c r="B13" s="245"/>
      <c r="C13" s="174" t="s">
        <v>90</v>
      </c>
      <c r="D13" s="174"/>
      <c r="E13" s="174"/>
      <c r="F13" s="208">
        <f>AM451/сред</f>
        <v>51.583999199999994</v>
      </c>
      <c r="G13" s="208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18"/>
      <c r="U13" s="18"/>
      <c r="V13" s="18"/>
      <c r="W13" s="18"/>
      <c r="X13" s="18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6"/>
      <c r="AL13" s="16"/>
      <c r="AQ13" s="55"/>
      <c r="AR13">
        <v>13</v>
      </c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</row>
    <row r="14" spans="1:129" ht="36" customHeight="1">
      <c r="A14" s="244"/>
      <c r="B14" s="245"/>
      <c r="C14" s="174"/>
      <c r="D14" s="174"/>
      <c r="E14" s="174"/>
      <c r="F14" s="208"/>
      <c r="G14" s="208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3"/>
      <c r="U14" s="13"/>
      <c r="V14" s="13"/>
      <c r="W14" s="13"/>
      <c r="X14" s="13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6"/>
      <c r="AL14" s="16"/>
      <c r="AQ14" s="55"/>
      <c r="AR14">
        <v>14</v>
      </c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</row>
    <row r="15" spans="1:129" ht="20.25" customHeight="1" hidden="1">
      <c r="A15" s="244"/>
      <c r="B15" s="245"/>
      <c r="C15" s="174"/>
      <c r="D15" s="174"/>
      <c r="E15" s="17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1"/>
      <c r="U15" s="12"/>
      <c r="V15" s="10"/>
      <c r="W15" s="11"/>
      <c r="X15" s="1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Q15" s="55"/>
      <c r="AR15">
        <v>15</v>
      </c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</row>
    <row r="16" spans="1:129" ht="20.25" customHeight="1" hidden="1">
      <c r="A16" s="244"/>
      <c r="B16" s="245"/>
      <c r="C16" s="174"/>
      <c r="D16" s="174"/>
      <c r="E16" s="17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6"/>
      <c r="U16" s="2"/>
      <c r="V16" s="7"/>
      <c r="W16" s="6"/>
      <c r="X16" s="2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Q16" s="55"/>
      <c r="AR16">
        <v>16</v>
      </c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</row>
    <row r="17" spans="1:129" ht="20.25">
      <c r="A17" s="14"/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Q17" s="55"/>
      <c r="AR17">
        <v>17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</row>
    <row r="18" spans="1:129" ht="19.5" customHeight="1">
      <c r="A18" s="183" t="s">
        <v>76</v>
      </c>
      <c r="B18" s="184"/>
      <c r="C18" s="185"/>
      <c r="D18" s="185"/>
      <c r="E18" s="186"/>
      <c r="F18" s="246" t="s">
        <v>77</v>
      </c>
      <c r="G18" s="187" t="s">
        <v>97</v>
      </c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21"/>
      <c r="AH18" s="205" t="s">
        <v>1</v>
      </c>
      <c r="AI18" s="177" t="s">
        <v>105</v>
      </c>
      <c r="AJ18" s="178"/>
      <c r="AK18" s="183" t="s">
        <v>87</v>
      </c>
      <c r="AL18" s="185"/>
      <c r="AM18" s="185"/>
      <c r="AN18" s="186"/>
      <c r="AQ18" s="55"/>
      <c r="AR18">
        <v>18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</row>
    <row r="19" spans="1:129" ht="19.5" customHeight="1">
      <c r="A19" s="144" t="s">
        <v>75</v>
      </c>
      <c r="B19" s="191"/>
      <c r="C19" s="191"/>
      <c r="D19" s="191"/>
      <c r="E19" s="154"/>
      <c r="F19" s="247"/>
      <c r="G19" s="196" t="s">
        <v>539</v>
      </c>
      <c r="H19" s="189"/>
      <c r="I19" s="189"/>
      <c r="J19" s="189"/>
      <c r="K19" s="189"/>
      <c r="L19" s="189"/>
      <c r="M19" s="189" t="s">
        <v>540</v>
      </c>
      <c r="N19" s="233"/>
      <c r="O19" s="196" t="s">
        <v>72</v>
      </c>
      <c r="P19" s="189"/>
      <c r="Q19" s="189"/>
      <c r="R19" s="189"/>
      <c r="S19" s="189"/>
      <c r="T19" s="189"/>
      <c r="U19" s="189"/>
      <c r="V19" s="233"/>
      <c r="W19" s="235" t="s">
        <v>73</v>
      </c>
      <c r="X19" s="235"/>
      <c r="Y19" s="235"/>
      <c r="Z19" s="189" t="s">
        <v>74</v>
      </c>
      <c r="AA19" s="189"/>
      <c r="AB19" s="189"/>
      <c r="AC19" s="189"/>
      <c r="AD19" s="189"/>
      <c r="AE19" s="189"/>
      <c r="AF19" s="189"/>
      <c r="AG19" s="189"/>
      <c r="AH19" s="206"/>
      <c r="AI19" s="179"/>
      <c r="AJ19" s="180"/>
      <c r="AK19" s="214" t="s">
        <v>5</v>
      </c>
      <c r="AL19" s="215"/>
      <c r="AM19" s="215"/>
      <c r="AN19" s="216"/>
      <c r="AQ19" s="55"/>
      <c r="AR19">
        <v>19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</row>
    <row r="20" spans="1:129" ht="19.5" customHeight="1">
      <c r="A20" s="192"/>
      <c r="B20" s="193"/>
      <c r="C20" s="193"/>
      <c r="D20" s="193"/>
      <c r="E20" s="194"/>
      <c r="F20" s="247"/>
      <c r="G20" s="197"/>
      <c r="H20" s="190"/>
      <c r="I20" s="190"/>
      <c r="J20" s="190"/>
      <c r="K20" s="190"/>
      <c r="L20" s="190"/>
      <c r="M20" s="190"/>
      <c r="N20" s="234"/>
      <c r="O20" s="197"/>
      <c r="P20" s="190"/>
      <c r="Q20" s="190"/>
      <c r="R20" s="190"/>
      <c r="S20" s="190"/>
      <c r="T20" s="190"/>
      <c r="U20" s="190"/>
      <c r="V20" s="234"/>
      <c r="W20" s="235"/>
      <c r="X20" s="235"/>
      <c r="Y20" s="235"/>
      <c r="Z20" s="190"/>
      <c r="AA20" s="190"/>
      <c r="AB20" s="190"/>
      <c r="AC20" s="190"/>
      <c r="AD20" s="190"/>
      <c r="AE20" s="190"/>
      <c r="AF20" s="190"/>
      <c r="AG20" s="190"/>
      <c r="AH20" s="206"/>
      <c r="AI20" s="179"/>
      <c r="AJ20" s="180"/>
      <c r="AK20" s="217"/>
      <c r="AL20" s="218"/>
      <c r="AM20" s="218"/>
      <c r="AN20" s="219"/>
      <c r="AQ20" s="55"/>
      <c r="AR20">
        <v>20</v>
      </c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</row>
    <row r="21" spans="1:129" ht="280.5" customHeight="1">
      <c r="A21" s="145"/>
      <c r="B21" s="195"/>
      <c r="C21" s="195"/>
      <c r="D21" s="195"/>
      <c r="E21" s="155"/>
      <c r="F21" s="248"/>
      <c r="G21" s="68" t="s">
        <v>401</v>
      </c>
      <c r="H21" s="61" t="s">
        <v>240</v>
      </c>
      <c r="I21" s="61" t="s">
        <v>548</v>
      </c>
      <c r="J21" s="62" t="s">
        <v>309</v>
      </c>
      <c r="K21" s="60" t="s">
        <v>217</v>
      </c>
      <c r="L21" s="114"/>
      <c r="M21" s="68"/>
      <c r="N21" s="77" t="s">
        <v>289</v>
      </c>
      <c r="O21" s="63" t="s">
        <v>171</v>
      </c>
      <c r="P21" s="60" t="s">
        <v>334</v>
      </c>
      <c r="Q21" s="63" t="s">
        <v>364</v>
      </c>
      <c r="R21" s="60" t="s">
        <v>309</v>
      </c>
      <c r="S21" s="60" t="s">
        <v>126</v>
      </c>
      <c r="T21" s="60"/>
      <c r="U21" s="60"/>
      <c r="V21" s="77"/>
      <c r="W21" s="63" t="s">
        <v>160</v>
      </c>
      <c r="X21" s="60" t="s">
        <v>549</v>
      </c>
      <c r="Y21" s="77"/>
      <c r="Z21" s="63" t="s">
        <v>172</v>
      </c>
      <c r="AA21" s="60" t="s">
        <v>267</v>
      </c>
      <c r="AB21" s="60" t="s">
        <v>309</v>
      </c>
      <c r="AC21" s="60" t="s">
        <v>216</v>
      </c>
      <c r="AD21" s="60"/>
      <c r="AE21" s="60"/>
      <c r="AF21" s="60"/>
      <c r="AG21" s="77"/>
      <c r="AH21" s="207"/>
      <c r="AI21" s="181"/>
      <c r="AJ21" s="182"/>
      <c r="AK21" s="181" t="s">
        <v>106</v>
      </c>
      <c r="AL21" s="252"/>
      <c r="AM21" s="92" t="s">
        <v>107</v>
      </c>
      <c r="AN21" s="96" t="s">
        <v>108</v>
      </c>
      <c r="AQ21" s="55"/>
      <c r="AR21">
        <v>21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</row>
    <row r="22" spans="1:129" ht="24" customHeight="1">
      <c r="A22" s="220">
        <v>1</v>
      </c>
      <c r="B22" s="220"/>
      <c r="C22" s="220"/>
      <c r="D22" s="220"/>
      <c r="E22" s="220"/>
      <c r="F22" s="58">
        <v>2</v>
      </c>
      <c r="G22" s="69">
        <v>3</v>
      </c>
      <c r="H22" s="41">
        <v>4</v>
      </c>
      <c r="I22" s="41">
        <v>5</v>
      </c>
      <c r="J22" s="41">
        <v>6</v>
      </c>
      <c r="K22" s="41">
        <v>7</v>
      </c>
      <c r="L22" s="58">
        <v>8</v>
      </c>
      <c r="M22" s="69">
        <v>9</v>
      </c>
      <c r="N22" s="78">
        <v>10</v>
      </c>
      <c r="O22" s="42">
        <v>11</v>
      </c>
      <c r="P22" s="41">
        <v>12</v>
      </c>
      <c r="Q22" s="42">
        <v>13</v>
      </c>
      <c r="R22" s="41">
        <v>14</v>
      </c>
      <c r="S22" s="41">
        <v>15</v>
      </c>
      <c r="T22" s="41">
        <v>16</v>
      </c>
      <c r="U22" s="41">
        <v>17</v>
      </c>
      <c r="V22" s="78">
        <v>18</v>
      </c>
      <c r="W22" s="42">
        <v>19</v>
      </c>
      <c r="X22" s="41">
        <v>20</v>
      </c>
      <c r="Y22" s="78">
        <v>21</v>
      </c>
      <c r="Z22" s="42">
        <v>22</v>
      </c>
      <c r="AA22" s="41">
        <v>23</v>
      </c>
      <c r="AB22" s="41">
        <v>24</v>
      </c>
      <c r="AC22" s="41">
        <v>25</v>
      </c>
      <c r="AD22" s="41">
        <v>26</v>
      </c>
      <c r="AE22" s="41">
        <v>27</v>
      </c>
      <c r="AF22" s="41">
        <v>28</v>
      </c>
      <c r="AG22" s="78">
        <v>29</v>
      </c>
      <c r="AH22" s="95">
        <v>30</v>
      </c>
      <c r="AI22" s="210">
        <v>31</v>
      </c>
      <c r="AJ22" s="211"/>
      <c r="AK22" s="220">
        <v>32</v>
      </c>
      <c r="AL22" s="220"/>
      <c r="AM22" s="94">
        <v>33</v>
      </c>
      <c r="AN22" s="93">
        <v>34</v>
      </c>
      <c r="AQ22" s="55"/>
      <c r="AR22">
        <v>22</v>
      </c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</row>
    <row r="23" spans="1:129" ht="20.25">
      <c r="A23" s="229" t="s">
        <v>78</v>
      </c>
      <c r="B23" s="229"/>
      <c r="C23" s="229"/>
      <c r="D23" s="229"/>
      <c r="E23" s="229"/>
      <c r="F23" s="56" t="s">
        <v>1</v>
      </c>
      <c r="G23" s="70">
        <v>20</v>
      </c>
      <c r="H23" s="19">
        <f>G23</f>
        <v>20</v>
      </c>
      <c r="I23" s="19">
        <f>G23</f>
        <v>20</v>
      </c>
      <c r="J23" s="19">
        <f>G23</f>
        <v>20</v>
      </c>
      <c r="K23" s="19">
        <f>G23</f>
        <v>20</v>
      </c>
      <c r="L23" s="56">
        <f>G23</f>
        <v>20</v>
      </c>
      <c r="M23" s="70">
        <v>20</v>
      </c>
      <c r="N23" s="79">
        <f>M23</f>
        <v>20</v>
      </c>
      <c r="O23" s="20">
        <v>20</v>
      </c>
      <c r="P23" s="19">
        <f aca="true" t="shared" si="0" ref="P23:V23">O23</f>
        <v>20</v>
      </c>
      <c r="Q23" s="20">
        <f t="shared" si="0"/>
        <v>20</v>
      </c>
      <c r="R23" s="19">
        <f t="shared" si="0"/>
        <v>20</v>
      </c>
      <c r="S23" s="19">
        <f t="shared" si="0"/>
        <v>20</v>
      </c>
      <c r="T23" s="19">
        <f t="shared" si="0"/>
        <v>20</v>
      </c>
      <c r="U23" s="19">
        <f t="shared" si="0"/>
        <v>20</v>
      </c>
      <c r="V23" s="79">
        <f t="shared" si="0"/>
        <v>20</v>
      </c>
      <c r="W23" s="20">
        <v>20</v>
      </c>
      <c r="X23" s="19">
        <f>W23</f>
        <v>20</v>
      </c>
      <c r="Y23" s="79">
        <f>X23</f>
        <v>20</v>
      </c>
      <c r="Z23" s="20">
        <v>20</v>
      </c>
      <c r="AA23" s="19">
        <f>Z23</f>
        <v>20</v>
      </c>
      <c r="AB23" s="19">
        <f aca="true" t="shared" si="1" ref="AB23:AG23">AA23</f>
        <v>20</v>
      </c>
      <c r="AC23" s="19">
        <f t="shared" si="1"/>
        <v>20</v>
      </c>
      <c r="AD23" s="19">
        <f t="shared" si="1"/>
        <v>20</v>
      </c>
      <c r="AE23" s="19">
        <f t="shared" si="1"/>
        <v>20</v>
      </c>
      <c r="AF23" s="19">
        <f t="shared" si="1"/>
        <v>20</v>
      </c>
      <c r="AG23" s="79">
        <f t="shared" si="1"/>
        <v>20</v>
      </c>
      <c r="AH23" s="2"/>
      <c r="AI23" s="204"/>
      <c r="AJ23" s="204"/>
      <c r="AK23" s="176"/>
      <c r="AL23" s="176"/>
      <c r="AM23" s="1"/>
      <c r="AN23" s="2"/>
      <c r="AQ23" s="55"/>
      <c r="AR23">
        <v>23</v>
      </c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</row>
    <row r="24" spans="1:129" ht="26.25" customHeight="1">
      <c r="A24" s="230" t="s">
        <v>79</v>
      </c>
      <c r="B24" s="230"/>
      <c r="C24" s="230"/>
      <c r="D24" s="230"/>
      <c r="E24" s="231"/>
      <c r="F24" s="57" t="s">
        <v>1</v>
      </c>
      <c r="G24" s="98">
        <f>IF(завтрак1="хліб житній",DS2,(IF(завтрак1="хліб пшеничний",DR2,(VLOOKUP(завтрак1,таб,67,FALSE)))))</f>
        <v>75</v>
      </c>
      <c r="H24" s="39">
        <f>IF(завтрак2="хліб житній",DS2,(IF(завтрак2="хліб пшеничний",DR2,(VLOOKUP(завтрак2,таб,67,FALSE)))))</f>
        <v>120</v>
      </c>
      <c r="I24" s="39">
        <v>50</v>
      </c>
      <c r="J24" s="39">
        <f>IF(завтрак4="хліб житній",DS2,(IF(завтрак4="хліб пшеничний",DR2,(VLOOKUP(завтрак4,таб,67,FALSE)))))</f>
        <v>30</v>
      </c>
      <c r="K24" s="39">
        <f>IF(завтрак5="хліб житній",DS2,(IF(завтрак5="хліб пшеничний",DR2,(VLOOKUP(завтрак5,таб,67,FALSE)))))</f>
        <v>100</v>
      </c>
      <c r="L24" s="115">
        <f>IF(завтрак6="хліб житній",DS2,(IF(завтрак6="хліб пшеничний",DR2,(VLOOKUP(завтрак6,таб,67,FALSE)))))</f>
        <v>0</v>
      </c>
      <c r="M24" s="124">
        <f>IF(завтрак7="хліб житній",DS2,(IF(завтрак7="хліб пшеничний",DR2,(VLOOKUP(завтрак7,таб,67,FALSE)))))</f>
        <v>0</v>
      </c>
      <c r="N24" s="80">
        <f>IF(завтрак8="хліб житній",DS2,(IF(завтрак8="хліб пшеничний",DR2,(VLOOKUP(завтрак8,таб,67,FALSE)))))</f>
        <v>75</v>
      </c>
      <c r="O24" s="39">
        <f>IF(обед1="хліб житній",DU2,(IF(обед1="хліб пшеничний",DT2,(VLOOKUP(обед1,таб,67,FALSE)))))</f>
        <v>75</v>
      </c>
      <c r="P24" s="39">
        <v>250</v>
      </c>
      <c r="Q24" s="39">
        <f>IF(обед3="хліб житній",DU2,(IF(обед3="хліб пшеничний",DT2,(VLOOKUP(обед3,таб,67,FALSE)))))</f>
        <v>150</v>
      </c>
      <c r="R24" s="39">
        <f>IF(обед4="хліб житній",DU2,(IF(обед4="хліб пшеничний",DT2,(VLOOKUP(обед4,таб,67,FALSE)))))</f>
        <v>30</v>
      </c>
      <c r="S24" s="39">
        <f>IF(обед5="хліб житній",DU2,(IF(обед5="хліб пшеничний",DT2,(VLOOKUP(обед5,таб,67,FALSE)))))</f>
        <v>125</v>
      </c>
      <c r="T24" s="39">
        <f>IF(обед6="хліб житній",DU2,(IF(обед6="хліб пшеничний",DT2,(VLOOKUP(обед6,таб,67,FALSE)))))</f>
        <v>0</v>
      </c>
      <c r="U24" s="39">
        <f>IF(обед7="хліб житній",DU2,(IF(обед7="хліб пшеничний",DT2,(VLOOKUP(обед7,таб,67,FALSE)))))</f>
        <v>0</v>
      </c>
      <c r="V24" s="80">
        <f>IF(обед8="хліб житній",DU2,(IF(обед8="хліб пшеничний",DT2,(VLOOKUP(обед8,таб,67,FALSE)))))</f>
        <v>0</v>
      </c>
      <c r="W24" s="39">
        <f>VLOOKUP(полдник1,таб,67,FALSE)</f>
        <v>75</v>
      </c>
      <c r="X24" s="38">
        <v>150</v>
      </c>
      <c r="Y24" s="80">
        <f>VLOOKUP(полдник3,таб,67,FALSE)</f>
        <v>0</v>
      </c>
      <c r="Z24" s="39">
        <f>IF(ужин1="хліб житній",DW2,(IF(ужин1="хліб пшеничний",DV2,(VLOOKUP(ужин1,таб,67,FALSE)))))</f>
        <v>75</v>
      </c>
      <c r="AA24" s="38">
        <f>IF(ужин2="хліб житній",DW2,(IF(ужин2="хліб пшеничний",DV2,(VLOOKUP(ужин2,таб,67,FALSE)))))</f>
        <v>150</v>
      </c>
      <c r="AB24" s="38">
        <f>IF(ужин3="хліб житній",DW2,(IF(ужин3="хліб пшеничний",DV2,(VLOOKUP(ужин3,таб,67,FALSE)))))</f>
        <v>30</v>
      </c>
      <c r="AC24" s="38">
        <v>150</v>
      </c>
      <c r="AD24" s="38">
        <f>IF(ужин5="хліб житній",DW2,(IF(ужин5="хліб пшеничний",DV2,(VLOOKUP(ужин5,таб,67,FALSE)))))</f>
        <v>0</v>
      </c>
      <c r="AE24" s="38">
        <f>IF(ужин6="хліб житній",DW2,(IF(ужин6="хліб пшеничний",DV2,(VLOOKUP(ужин6,таб,67,FALSE)))))</f>
        <v>0</v>
      </c>
      <c r="AF24" s="38">
        <f>IF(ужин7="хліб житній",DW2,(IF(ужин7="хліб пшеничний",DV2,(VLOOKUP(ужин7,таб,67,FALSE)))))</f>
        <v>0</v>
      </c>
      <c r="AG24" s="80">
        <f>IF(ужин8="хліб житній",DW2,(IF(ужин8="хліб пшеничний",DV2,(VLOOKUP(ужин8,таб,67,FALSE)))))</f>
        <v>0</v>
      </c>
      <c r="AH24" s="89"/>
      <c r="AI24" s="213"/>
      <c r="AJ24" s="213"/>
      <c r="AK24" s="176"/>
      <c r="AL24" s="176"/>
      <c r="AM24" s="1"/>
      <c r="AN24" s="2"/>
      <c r="AQ24" s="55"/>
      <c r="AR24">
        <v>24</v>
      </c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</row>
    <row r="25" spans="1:129" ht="34.5" customHeight="1">
      <c r="A25" s="163" t="s">
        <v>7</v>
      </c>
      <c r="B25" s="163"/>
      <c r="C25" s="163"/>
      <c r="D25" s="163"/>
      <c r="E25" s="164"/>
      <c r="F25" s="64" t="s">
        <v>95</v>
      </c>
      <c r="G25" s="71">
        <f>VLOOKUP(завтрак1,таб,2,FALSE)</f>
        <v>0</v>
      </c>
      <c r="H25" s="52">
        <f>VLOOKUP(завтрак2,таб,2,FALSE)</f>
        <v>0</v>
      </c>
      <c r="I25" s="26"/>
      <c r="J25" s="27">
        <f>VLOOKUP(завтрак4,таб,2,FALSE)</f>
        <v>0</v>
      </c>
      <c r="K25" s="26">
        <f>VLOOKUP(завтрак5,таб,2,FALSE)</f>
        <v>0</v>
      </c>
      <c r="L25" s="116">
        <f>VLOOKUP(завтрак6,таб,2,FALSE)</f>
        <v>0</v>
      </c>
      <c r="M25" s="71">
        <f>VLOOKUP(завтрак7,таб,2,FALSE)</f>
        <v>0</v>
      </c>
      <c r="N25" s="81">
        <f>VLOOKUP(завтрак8,таб,2,FALSE)</f>
        <v>0</v>
      </c>
      <c r="O25" s="28">
        <f>VLOOKUP(обед1,таб,2,FALSE)</f>
        <v>0</v>
      </c>
      <c r="P25" s="26">
        <f>VLOOKUP(обед2,таб,2,FALSE)</f>
        <v>0</v>
      </c>
      <c r="Q25" s="27">
        <f>VLOOKUP(обед3,таб,2,FALSE)</f>
        <v>0</v>
      </c>
      <c r="R25" s="26">
        <f>VLOOKUP(обед4,таб,2,FALSE)</f>
        <v>0</v>
      </c>
      <c r="S25" s="27">
        <f>VLOOKUP(обед5,таб,2,FALSE)</f>
        <v>0</v>
      </c>
      <c r="T25" s="26">
        <f>VLOOKUP(обед6,таб,2,FALSE)</f>
        <v>0</v>
      </c>
      <c r="U25" s="27">
        <f>VLOOKUP(обед7,таб,2,FALSE)</f>
        <v>0</v>
      </c>
      <c r="V25" s="81">
        <f>VLOOKUP(обед8,таб,2,FALSE)</f>
        <v>0</v>
      </c>
      <c r="W25" s="28">
        <f>VLOOKUP(полдник1,таб,2,FALSE)</f>
        <v>0</v>
      </c>
      <c r="X25" s="26"/>
      <c r="Y25" s="81">
        <f>VLOOKUP(полдник3,таб,2,FALSE)</f>
        <v>0</v>
      </c>
      <c r="Z25" s="28">
        <f>VLOOKUP(ужин1,таб,2,FALSE)</f>
        <v>0</v>
      </c>
      <c r="AA25" s="27">
        <f>VLOOKUP(ужин2,таб,2,FALSE)</f>
        <v>0</v>
      </c>
      <c r="AB25" s="26">
        <f>VLOOKUP(ужин3,таб,2,FALSE)</f>
        <v>0</v>
      </c>
      <c r="AC25" s="27">
        <f>VLOOKUP(ужин4,таб,2,FALSE)</f>
        <v>0</v>
      </c>
      <c r="AD25" s="26">
        <f>VLOOKUP(ужин5,таб,2,FALSE)</f>
        <v>0</v>
      </c>
      <c r="AE25" s="27">
        <f>VLOOKUP(ужин6,таб,2,FALSE)</f>
        <v>0</v>
      </c>
      <c r="AF25" s="26">
        <f>VLOOKUP(ужин7,таб,2,FALSE)</f>
        <v>0</v>
      </c>
      <c r="AG25" s="81">
        <f>VLOOKUP(ужин8,таб,2,FALSE)</f>
        <v>0</v>
      </c>
      <c r="AH25" s="141">
        <v>610001</v>
      </c>
      <c r="AI25" s="139">
        <f>AK25/сред</f>
        <v>0</v>
      </c>
      <c r="AJ25" s="140"/>
      <c r="AK25" s="143">
        <f>SUM(G26:AG26)</f>
        <v>0</v>
      </c>
      <c r="AL25" s="143"/>
      <c r="AM25" s="131">
        <f>IF(AK25=0,0,Таблиця!C267)</f>
        <v>0</v>
      </c>
      <c r="AN25" s="129">
        <f>AK25*AM25</f>
        <v>0</v>
      </c>
      <c r="AQ25" s="54"/>
      <c r="AR25">
        <v>25</v>
      </c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</row>
    <row r="26" spans="1:129" ht="34.5" customHeight="1">
      <c r="A26" s="163"/>
      <c r="B26" s="163"/>
      <c r="C26" s="163"/>
      <c r="D26" s="163"/>
      <c r="E26" s="164"/>
      <c r="F26" s="59" t="s">
        <v>96</v>
      </c>
      <c r="G26" s="72">
        <f aca="true" t="shared" si="2" ref="G26:N26">IF(G25=0,"",завтракл*G25/1000)</f>
      </c>
      <c r="H26" s="53">
        <f t="shared" si="2"/>
      </c>
      <c r="I26" s="44"/>
      <c r="J26" s="45">
        <f t="shared" si="2"/>
      </c>
      <c r="K26" s="44">
        <f t="shared" si="2"/>
      </c>
      <c r="L26" s="117">
        <f t="shared" si="2"/>
      </c>
      <c r="M26" s="72">
        <f t="shared" si="2"/>
      </c>
      <c r="N26" s="82">
        <f t="shared" si="2"/>
      </c>
      <c r="O26" s="46">
        <f aca="true" t="shared" si="3" ref="O26:T26">IF(O25=0,"",обідл*O25/1000)</f>
      </c>
      <c r="P26" s="44">
        <f t="shared" si="3"/>
      </c>
      <c r="Q26" s="45">
        <f t="shared" si="3"/>
      </c>
      <c r="R26" s="44">
        <f t="shared" si="3"/>
      </c>
      <c r="S26" s="45">
        <f t="shared" si="3"/>
      </c>
      <c r="T26" s="44">
        <f t="shared" si="3"/>
      </c>
      <c r="U26" s="45">
        <f>IF(U25=0,"",обідл*U25/1000)</f>
      </c>
      <c r="V26" s="82">
        <f>IF(V25=0,"",обідл*V25/1000)</f>
      </c>
      <c r="W26" s="46">
        <f>IF(W25=0,"",полдникл*W25/1000)</f>
      </c>
      <c r="X26" s="44"/>
      <c r="Y26" s="82">
        <f>IF(Y25=0,"",полдникл*Y25/1000)</f>
      </c>
      <c r="Z26" s="46">
        <f aca="true" t="shared" si="4" ref="Z26:AG26">IF(Z25=0,"",ужинл*Z25/1000)</f>
      </c>
      <c r="AA26" s="45">
        <f t="shared" si="4"/>
      </c>
      <c r="AB26" s="44">
        <f t="shared" si="4"/>
      </c>
      <c r="AC26" s="45">
        <f t="shared" si="4"/>
      </c>
      <c r="AD26" s="44">
        <f t="shared" si="4"/>
      </c>
      <c r="AE26" s="45">
        <f t="shared" si="4"/>
      </c>
      <c r="AF26" s="44">
        <f t="shared" si="4"/>
      </c>
      <c r="AG26" s="82">
        <f t="shared" si="4"/>
      </c>
      <c r="AH26" s="142"/>
      <c r="AI26" s="139"/>
      <c r="AJ26" s="140"/>
      <c r="AK26" s="143"/>
      <c r="AL26" s="143"/>
      <c r="AM26" s="132"/>
      <c r="AN26" s="130"/>
      <c r="AQ26" s="55"/>
      <c r="AR26">
        <v>26</v>
      </c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</row>
    <row r="27" spans="1:129" ht="34.5" customHeight="1">
      <c r="A27" s="163" t="s">
        <v>3</v>
      </c>
      <c r="B27" s="163"/>
      <c r="C27" s="163"/>
      <c r="D27" s="163"/>
      <c r="E27" s="164"/>
      <c r="F27" s="64" t="s">
        <v>95</v>
      </c>
      <c r="G27" s="71">
        <f>VLOOKUP(завтрак1,таб,3,FALSE)</f>
        <v>0</v>
      </c>
      <c r="H27" s="27">
        <f>VLOOKUP(завтрак2,таб,3,FALSE)</f>
        <v>0</v>
      </c>
      <c r="I27" s="26"/>
      <c r="J27" s="27">
        <f>VLOOKUP(завтрак4,таб,3,FALSE)</f>
        <v>0</v>
      </c>
      <c r="K27" s="26">
        <f>VLOOKUP(завтрак5,таб,3,FALSE)</f>
        <v>0</v>
      </c>
      <c r="L27" s="116">
        <f>VLOOKUP(завтрак6,таб,3,FALSE)</f>
        <v>0</v>
      </c>
      <c r="M27" s="71">
        <f>VLOOKUP(завтрак7,таб,3,FALSE)</f>
        <v>0</v>
      </c>
      <c r="N27" s="81">
        <f>VLOOKUP(завтрак8,таб,3,FALSE)</f>
        <v>0</v>
      </c>
      <c r="O27" s="28">
        <f>VLOOKUP(обед1,таб,3,FALSE)</f>
        <v>0</v>
      </c>
      <c r="P27" s="26">
        <f>VLOOKUP(обед2,таб,3,FALSE)</f>
        <v>0</v>
      </c>
      <c r="Q27" s="27">
        <v>72.3</v>
      </c>
      <c r="R27" s="26">
        <f>VLOOKUP(обед4,таб,3,FALSE)</f>
        <v>0</v>
      </c>
      <c r="S27" s="27">
        <f>VLOOKUP(обед5,таб,3,FALSE)</f>
        <v>0</v>
      </c>
      <c r="T27" s="26">
        <f>VLOOKUP(обед6,таб,3,FALSE)</f>
        <v>0</v>
      </c>
      <c r="U27" s="27">
        <f>VLOOKUP(обед7,таб,3,FALSE)</f>
        <v>0</v>
      </c>
      <c r="V27" s="81">
        <f>VLOOKUP(обед8,таб,3,FALSE)</f>
        <v>0</v>
      </c>
      <c r="W27" s="28">
        <f>VLOOKUP(полдник1,таб,3,FALSE)</f>
        <v>0</v>
      </c>
      <c r="X27" s="26"/>
      <c r="Y27" s="81">
        <f>VLOOKUP(полдник3,таб,3,FALSE)</f>
        <v>0</v>
      </c>
      <c r="Z27" s="28">
        <f>VLOOKUP(ужин1,таб,3,FALSE)</f>
        <v>0</v>
      </c>
      <c r="AA27" s="27">
        <f>VLOOKUP(ужин2,таб,3,FALSE)</f>
        <v>0</v>
      </c>
      <c r="AB27" s="26">
        <f>VLOOKUP(ужин3,таб,3,FALSE)</f>
        <v>0</v>
      </c>
      <c r="AC27" s="27">
        <f>VLOOKUP(ужин4,таб,3,FALSE)</f>
        <v>0</v>
      </c>
      <c r="AD27" s="26">
        <f>VLOOKUP(ужин5,таб,3,FALSE)</f>
        <v>0</v>
      </c>
      <c r="AE27" s="27">
        <f>VLOOKUP(ужин6,таб,3,FALSE)</f>
        <v>0</v>
      </c>
      <c r="AF27" s="26">
        <f>VLOOKUP(ужин7,таб,3,FALSE)</f>
        <v>0</v>
      </c>
      <c r="AG27" s="81">
        <f>VLOOKUP(ужин8,таб,3,FALSE)</f>
        <v>0</v>
      </c>
      <c r="AH27" s="141">
        <v>610002</v>
      </c>
      <c r="AI27" s="139">
        <f>AK27/сред</f>
        <v>0.0723</v>
      </c>
      <c r="AJ27" s="140"/>
      <c r="AK27" s="143">
        <f>SUM(G28:AG28)</f>
        <v>1.446</v>
      </c>
      <c r="AL27" s="143"/>
      <c r="AM27" s="131">
        <f>IF(AK27=0,0,Таблиця!D267)</f>
        <v>130</v>
      </c>
      <c r="AN27" s="129">
        <f>AK27*AM27</f>
        <v>187.98</v>
      </c>
      <c r="AQ27" s="54"/>
      <c r="AR27">
        <v>27</v>
      </c>
      <c r="DE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</row>
    <row r="28" spans="1:129" ht="34.5" customHeight="1">
      <c r="A28" s="163"/>
      <c r="B28" s="163"/>
      <c r="C28" s="163"/>
      <c r="D28" s="163"/>
      <c r="E28" s="164"/>
      <c r="F28" s="59" t="s">
        <v>96</v>
      </c>
      <c r="G28" s="72">
        <f aca="true" t="shared" si="5" ref="G28:N28">IF(G27=0,"",завтракл*G27/1000)</f>
      </c>
      <c r="H28" s="45">
        <f t="shared" si="5"/>
      </c>
      <c r="I28" s="44"/>
      <c r="J28" s="45">
        <f t="shared" si="5"/>
      </c>
      <c r="K28" s="44">
        <f t="shared" si="5"/>
      </c>
      <c r="L28" s="117">
        <f t="shared" si="5"/>
      </c>
      <c r="M28" s="72">
        <f t="shared" si="5"/>
      </c>
      <c r="N28" s="82">
        <f t="shared" si="5"/>
      </c>
      <c r="O28" s="46">
        <f aca="true" t="shared" si="6" ref="O28:T28">IF(O27=0,"",обідл*O27/1000)</f>
      </c>
      <c r="P28" s="44">
        <f t="shared" si="6"/>
      </c>
      <c r="Q28" s="45">
        <f t="shared" si="6"/>
        <v>1.446</v>
      </c>
      <c r="R28" s="44">
        <f t="shared" si="6"/>
      </c>
      <c r="S28" s="45">
        <f t="shared" si="6"/>
      </c>
      <c r="T28" s="44">
        <f t="shared" si="6"/>
      </c>
      <c r="U28" s="45">
        <f>IF(U27=0,"",обідл*U27/1000)</f>
      </c>
      <c r="V28" s="82">
        <f>IF(V27=0,"",обідл*V27/1000)</f>
      </c>
      <c r="W28" s="46">
        <f>IF(W27=0,"",полдникл*W27/1000)</f>
      </c>
      <c r="X28" s="44"/>
      <c r="Y28" s="82">
        <f>IF(Y27=0,"",полдникл*Y27/1000)</f>
      </c>
      <c r="Z28" s="46">
        <f aca="true" t="shared" si="7" ref="Z28:AG28">IF(Z27=0,"",ужинл*Z27/1000)</f>
      </c>
      <c r="AA28" s="45">
        <f t="shared" si="7"/>
      </c>
      <c r="AB28" s="44">
        <f t="shared" si="7"/>
      </c>
      <c r="AC28" s="45">
        <f t="shared" si="7"/>
      </c>
      <c r="AD28" s="44">
        <f t="shared" si="7"/>
      </c>
      <c r="AE28" s="45">
        <f t="shared" si="7"/>
      </c>
      <c r="AF28" s="44">
        <f t="shared" si="7"/>
      </c>
      <c r="AG28" s="82">
        <f t="shared" si="7"/>
      </c>
      <c r="AH28" s="142"/>
      <c r="AI28" s="139"/>
      <c r="AJ28" s="140"/>
      <c r="AK28" s="143"/>
      <c r="AL28" s="143"/>
      <c r="AM28" s="132"/>
      <c r="AN28" s="130"/>
      <c r="AQ28" s="55"/>
      <c r="AR28">
        <v>28</v>
      </c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</row>
    <row r="29" spans="1:129" ht="34.5" customHeight="1">
      <c r="A29" s="156" t="s">
        <v>8</v>
      </c>
      <c r="B29" s="156"/>
      <c r="C29" s="156"/>
      <c r="D29" s="156"/>
      <c r="E29" s="157"/>
      <c r="F29" s="64" t="s">
        <v>95</v>
      </c>
      <c r="G29" s="71">
        <f>VLOOKUP(завтрак1,таб,4,FALSE)</f>
        <v>0</v>
      </c>
      <c r="H29" s="27">
        <f>VLOOKUP(завтрак2,таб,4,FALSE)</f>
        <v>0</v>
      </c>
      <c r="I29" s="26"/>
      <c r="J29" s="27">
        <f>VLOOKUP(завтрак4,таб,4,FALSE)</f>
        <v>0</v>
      </c>
      <c r="K29" s="26">
        <f>VLOOKUP(завтрак5,таб,4,FALSE)</f>
        <v>0</v>
      </c>
      <c r="L29" s="116">
        <f>VLOOKUP(завтрак6,таб,4,FALSE)</f>
        <v>0</v>
      </c>
      <c r="M29" s="71">
        <f>VLOOKUP(завтрак7,таб,4,FALSE)</f>
        <v>0</v>
      </c>
      <c r="N29" s="81">
        <f>VLOOKUP(завтрак8,таб,4,FALSE)</f>
        <v>0</v>
      </c>
      <c r="O29" s="28">
        <f>VLOOKUP(обед1,таб,4,FALSE)</f>
        <v>0</v>
      </c>
      <c r="P29" s="26">
        <f>VLOOKUP(обед2,таб,4,FALSE)</f>
        <v>0</v>
      </c>
      <c r="Q29" s="27">
        <f>VLOOKUP(обед3,таб,4,FALSE)</f>
        <v>0</v>
      </c>
      <c r="R29" s="26">
        <f>VLOOKUP(обед4,таб,4,FALSE)</f>
        <v>0</v>
      </c>
      <c r="S29" s="27">
        <f>VLOOKUP(обед5,таб,4,FALSE)</f>
        <v>0</v>
      </c>
      <c r="T29" s="26">
        <f>VLOOKUP(обед6,таб,4,FALSE)</f>
        <v>0</v>
      </c>
      <c r="U29" s="27">
        <f>VLOOKUP(обед7,таб,4,FALSE)</f>
        <v>0</v>
      </c>
      <c r="V29" s="81">
        <f>VLOOKUP(обед8,таб,4,FALSE)</f>
        <v>0</v>
      </c>
      <c r="W29" s="28">
        <f>VLOOKUP(полдник1,таб,4,FALSE)</f>
        <v>0</v>
      </c>
      <c r="X29" s="26"/>
      <c r="Y29" s="81">
        <f>VLOOKUP(полдник3,таб,4,FALSE)</f>
        <v>0</v>
      </c>
      <c r="Z29" s="28">
        <f>VLOOKUP(ужин1,таб,4,FALSE)</f>
        <v>0</v>
      </c>
      <c r="AA29" s="27">
        <f>VLOOKUP(ужин2,таб,4,FALSE)</f>
        <v>0</v>
      </c>
      <c r="AB29" s="26">
        <f>VLOOKUP(ужин3,таб,4,FALSE)</f>
        <v>0</v>
      </c>
      <c r="AC29" s="27">
        <f>VLOOKUP(ужин4,таб,4,FALSE)</f>
        <v>0</v>
      </c>
      <c r="AD29" s="26">
        <f>VLOOKUP(ужин5,таб,4,FALSE)</f>
        <v>0</v>
      </c>
      <c r="AE29" s="27">
        <f>VLOOKUP(ужин6,таб,4,FALSE)</f>
        <v>0</v>
      </c>
      <c r="AF29" s="26">
        <f>VLOOKUP(ужин7,таб,4,FALSE)</f>
        <v>0</v>
      </c>
      <c r="AG29" s="81">
        <f>VLOOKUP(ужин8,таб,4,FALSE)</f>
        <v>0</v>
      </c>
      <c r="AH29" s="141">
        <v>610009</v>
      </c>
      <c r="AI29" s="139">
        <f>AK29/сред</f>
        <v>0</v>
      </c>
      <c r="AJ29" s="140"/>
      <c r="AK29" s="143">
        <f>SUM(G30:AG30)</f>
        <v>0</v>
      </c>
      <c r="AL29" s="143"/>
      <c r="AM29" s="131">
        <f>IF(AK29=0,0,Таблиця!E267)</f>
        <v>0</v>
      </c>
      <c r="AN29" s="129">
        <f>AK29*AM29</f>
        <v>0</v>
      </c>
      <c r="AQ29" s="54"/>
      <c r="AR29">
        <v>29</v>
      </c>
      <c r="DE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</row>
    <row r="30" spans="1:129" ht="34.5" customHeight="1">
      <c r="A30" s="163"/>
      <c r="B30" s="163"/>
      <c r="C30" s="163"/>
      <c r="D30" s="163"/>
      <c r="E30" s="164"/>
      <c r="F30" s="59" t="s">
        <v>96</v>
      </c>
      <c r="G30" s="72">
        <f aca="true" t="shared" si="8" ref="G30:N30">IF(G29=0,"",завтракл*G29/1000)</f>
      </c>
      <c r="H30" s="45">
        <f t="shared" si="8"/>
      </c>
      <c r="I30" s="44"/>
      <c r="J30" s="45">
        <f t="shared" si="8"/>
      </c>
      <c r="K30" s="44">
        <f t="shared" si="8"/>
      </c>
      <c r="L30" s="117">
        <f t="shared" si="8"/>
      </c>
      <c r="M30" s="72">
        <f t="shared" si="8"/>
      </c>
      <c r="N30" s="82">
        <f t="shared" si="8"/>
      </c>
      <c r="O30" s="46">
        <f aca="true" t="shared" si="9" ref="O30:T30">IF(O29=0,"",обідл*O29/1000)</f>
      </c>
      <c r="P30" s="44">
        <f t="shared" si="9"/>
      </c>
      <c r="Q30" s="45">
        <f t="shared" si="9"/>
      </c>
      <c r="R30" s="44">
        <f t="shared" si="9"/>
      </c>
      <c r="S30" s="45">
        <f t="shared" si="9"/>
      </c>
      <c r="T30" s="44">
        <f t="shared" si="9"/>
      </c>
      <c r="U30" s="45">
        <f>IF(U29=0,"",обідл*U29/1000)</f>
      </c>
      <c r="V30" s="82">
        <f>IF(V29=0,"",обідл*V29/1000)</f>
      </c>
      <c r="W30" s="46">
        <f>IF(W29=0,"",полдникл*W29/1000)</f>
      </c>
      <c r="X30" s="44"/>
      <c r="Y30" s="82">
        <f>IF(Y29=0,"",полдникл*Y29/1000)</f>
      </c>
      <c r="Z30" s="46">
        <f aca="true" t="shared" si="10" ref="Z30:AG30">IF(Z29=0,"",ужинл*Z29/1000)</f>
      </c>
      <c r="AA30" s="45">
        <f t="shared" si="10"/>
      </c>
      <c r="AB30" s="44">
        <f t="shared" si="10"/>
      </c>
      <c r="AC30" s="45">
        <f t="shared" si="10"/>
      </c>
      <c r="AD30" s="44">
        <f t="shared" si="10"/>
      </c>
      <c r="AE30" s="45">
        <f t="shared" si="10"/>
      </c>
      <c r="AF30" s="44">
        <f t="shared" si="10"/>
      </c>
      <c r="AG30" s="82">
        <f t="shared" si="10"/>
      </c>
      <c r="AH30" s="142"/>
      <c r="AI30" s="139"/>
      <c r="AJ30" s="140"/>
      <c r="AK30" s="143"/>
      <c r="AL30" s="143"/>
      <c r="AM30" s="132"/>
      <c r="AN30" s="130"/>
      <c r="AQ30" s="55"/>
      <c r="AR30">
        <v>30</v>
      </c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</row>
    <row r="31" spans="1:129" ht="34.5" customHeight="1">
      <c r="A31" s="163" t="s">
        <v>102</v>
      </c>
      <c r="B31" s="163"/>
      <c r="C31" s="163"/>
      <c r="D31" s="163"/>
      <c r="E31" s="164"/>
      <c r="F31" s="64" t="s">
        <v>95</v>
      </c>
      <c r="G31" s="71">
        <f>VLOOKUP(завтрак1,таб,5,FALSE)</f>
        <v>0</v>
      </c>
      <c r="H31" s="27">
        <f>VLOOKUP(завтрак2,таб,5,FALSE)</f>
        <v>0</v>
      </c>
      <c r="I31" s="26"/>
      <c r="J31" s="27">
        <f>VLOOKUP(завтрак4,таб,5,FALSE)</f>
        <v>0</v>
      </c>
      <c r="K31" s="26">
        <f>VLOOKUP(завтрак5,таб,5,FALSE)</f>
        <v>0</v>
      </c>
      <c r="L31" s="116">
        <f>VLOOKUP(завтрак6,таб,5,FALSE)</f>
        <v>0</v>
      </c>
      <c r="M31" s="71">
        <f>VLOOKUP(завтрак7,таб,5,FALSE)</f>
        <v>0</v>
      </c>
      <c r="N31" s="81">
        <f>VLOOKUP(завтрак8,таб,5,FALSE)</f>
        <v>0</v>
      </c>
      <c r="O31" s="28">
        <f>VLOOKUP(обед1,таб,5,FALSE)</f>
        <v>0</v>
      </c>
      <c r="P31" s="26">
        <f>VLOOKUP(обед2,таб,5,FALSE)</f>
        <v>0</v>
      </c>
      <c r="Q31" s="27">
        <f>VLOOKUP(обед3,таб,5,FALSE)</f>
        <v>0</v>
      </c>
      <c r="R31" s="26">
        <f>VLOOKUP(обед4,таб,5,FALSE)</f>
        <v>0</v>
      </c>
      <c r="S31" s="27">
        <f>VLOOKUP(обед5,таб,5,FALSE)</f>
        <v>0</v>
      </c>
      <c r="T31" s="26">
        <f>VLOOKUP(обед6,таб,5,FALSE)</f>
        <v>0</v>
      </c>
      <c r="U31" s="27">
        <f>VLOOKUP(обед7,таб,5,FALSE)</f>
        <v>0</v>
      </c>
      <c r="V31" s="81">
        <f>VLOOKUP(обед8,таб,5,FALSE)</f>
        <v>0</v>
      </c>
      <c r="W31" s="28">
        <f>VLOOKUP(полдник1,таб,5,FALSE)</f>
        <v>0</v>
      </c>
      <c r="X31" s="26"/>
      <c r="Y31" s="81">
        <f>VLOOKUP(полдник3,таб,5,FALSE)</f>
        <v>0</v>
      </c>
      <c r="Z31" s="28">
        <f>VLOOKUP(ужин1,таб,5,FALSE)</f>
        <v>0</v>
      </c>
      <c r="AA31" s="27">
        <f>VLOOKUP(ужин2,таб,5,FALSE)</f>
        <v>0</v>
      </c>
      <c r="AB31" s="26">
        <f>VLOOKUP(ужин3,таб,5,FALSE)</f>
        <v>0</v>
      </c>
      <c r="AC31" s="27">
        <f>VLOOKUP(ужин4,таб,5,FALSE)</f>
        <v>0</v>
      </c>
      <c r="AD31" s="26">
        <f>VLOOKUP(ужин5,таб,5,FALSE)</f>
        <v>0</v>
      </c>
      <c r="AE31" s="27">
        <f>VLOOKUP(ужин6,таб,5,FALSE)</f>
        <v>0</v>
      </c>
      <c r="AF31" s="26">
        <f>VLOOKUP(ужин7,таб,5,FALSE)</f>
        <v>0</v>
      </c>
      <c r="AG31" s="81">
        <f>VLOOKUP(ужин8,таб,5,FALSE)</f>
        <v>0</v>
      </c>
      <c r="AH31" s="141">
        <v>610024</v>
      </c>
      <c r="AI31" s="139">
        <f>AK31/сред</f>
        <v>0</v>
      </c>
      <c r="AJ31" s="140"/>
      <c r="AK31" s="143">
        <f>SUM(G32:AG32)</f>
        <v>0</v>
      </c>
      <c r="AL31" s="143"/>
      <c r="AM31" s="131">
        <f>IF(AK31=0,0,Таблиця!DY267)</f>
        <v>0</v>
      </c>
      <c r="AN31" s="129">
        <f>AK31*AM31</f>
        <v>0</v>
      </c>
      <c r="AQ31" s="55"/>
      <c r="AR31">
        <v>31</v>
      </c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</row>
    <row r="32" spans="1:129" ht="34.5" customHeight="1">
      <c r="A32" s="163"/>
      <c r="B32" s="163"/>
      <c r="C32" s="163"/>
      <c r="D32" s="163"/>
      <c r="E32" s="164"/>
      <c r="F32" s="59" t="s">
        <v>96</v>
      </c>
      <c r="G32" s="72">
        <f aca="true" t="shared" si="11" ref="G32:N32">IF(G31=0,"",завтракл*G31/1000)</f>
      </c>
      <c r="H32" s="45">
        <f t="shared" si="11"/>
      </c>
      <c r="I32" s="44"/>
      <c r="J32" s="45">
        <f t="shared" si="11"/>
      </c>
      <c r="K32" s="44">
        <f t="shared" si="11"/>
      </c>
      <c r="L32" s="117">
        <f t="shared" si="11"/>
      </c>
      <c r="M32" s="72">
        <f t="shared" si="11"/>
      </c>
      <c r="N32" s="82">
        <f t="shared" si="11"/>
      </c>
      <c r="O32" s="46">
        <f aca="true" t="shared" si="12" ref="O32:T32">IF(O31=0,"",обідл*O31/1000)</f>
      </c>
      <c r="P32" s="44">
        <f t="shared" si="12"/>
      </c>
      <c r="Q32" s="45">
        <f t="shared" si="12"/>
      </c>
      <c r="R32" s="44">
        <f t="shared" si="12"/>
      </c>
      <c r="S32" s="45">
        <f t="shared" si="12"/>
      </c>
      <c r="T32" s="44">
        <f t="shared" si="12"/>
      </c>
      <c r="U32" s="45">
        <f>IF(U31=0,"",обідл*U31/1000)</f>
      </c>
      <c r="V32" s="82">
        <f>IF(V31=0,"",обідл*V31/1000)</f>
      </c>
      <c r="W32" s="46">
        <f>IF(W31=0,"",полдникл*W31/1000)</f>
      </c>
      <c r="X32" s="44"/>
      <c r="Y32" s="82">
        <f>IF(Y31=0,"",полдникл*Y31/1000)</f>
      </c>
      <c r="Z32" s="46">
        <f aca="true" t="shared" si="13" ref="Z32:AG32">IF(Z31=0,"",завтракл*Z31/1000)</f>
      </c>
      <c r="AA32" s="45">
        <f t="shared" si="13"/>
      </c>
      <c r="AB32" s="44">
        <f t="shared" si="13"/>
      </c>
      <c r="AC32" s="45">
        <f t="shared" si="13"/>
      </c>
      <c r="AD32" s="44">
        <f t="shared" si="13"/>
      </c>
      <c r="AE32" s="45">
        <f t="shared" si="13"/>
      </c>
      <c r="AF32" s="44">
        <f t="shared" si="13"/>
      </c>
      <c r="AG32" s="82">
        <f t="shared" si="13"/>
      </c>
      <c r="AH32" s="142"/>
      <c r="AI32" s="139"/>
      <c r="AJ32" s="140"/>
      <c r="AK32" s="143"/>
      <c r="AL32" s="143"/>
      <c r="AM32" s="132"/>
      <c r="AN32" s="130"/>
      <c r="AQ32" s="55"/>
      <c r="AR32">
        <v>32</v>
      </c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</row>
    <row r="33" spans="1:129" ht="34.5" customHeight="1">
      <c r="A33" s="163" t="s">
        <v>9</v>
      </c>
      <c r="B33" s="163"/>
      <c r="C33" s="163"/>
      <c r="D33" s="163"/>
      <c r="E33" s="164"/>
      <c r="F33" s="64" t="s">
        <v>95</v>
      </c>
      <c r="G33" s="71">
        <f>VLOOKUP(завтрак1,таб,6,FALSE)</f>
        <v>0</v>
      </c>
      <c r="H33" s="27">
        <f>VLOOKUP(завтрак2,таб,6,FALSE)</f>
        <v>0</v>
      </c>
      <c r="I33" s="26"/>
      <c r="J33" s="27">
        <f>VLOOKUP(завтрак4,таб,6,FALSE)</f>
        <v>0</v>
      </c>
      <c r="K33" s="26">
        <f>VLOOKUP(завтрак5,таб,6,FALSE)</f>
        <v>0</v>
      </c>
      <c r="L33" s="116">
        <f>VLOOKUP(завтрак6,таб,6,FALSE)</f>
        <v>0</v>
      </c>
      <c r="M33" s="71">
        <f>VLOOKUP(завтрак7,таб,6,FALSE)</f>
        <v>0</v>
      </c>
      <c r="N33" s="81">
        <f>VLOOKUP(завтрак8,таб,6,FALSE)</f>
        <v>0</v>
      </c>
      <c r="O33" s="28">
        <f>VLOOKUP(обед1,таб,6,FALSE)</f>
        <v>0</v>
      </c>
      <c r="P33" s="26">
        <f>VLOOKUP(обед2,таб,6,FALSE)</f>
        <v>0</v>
      </c>
      <c r="Q33" s="27">
        <f>VLOOKUP(обед3,таб,6,FALSE)</f>
        <v>0</v>
      </c>
      <c r="R33" s="26">
        <f>VLOOKUP(обед4,таб,6,FALSE)</f>
        <v>0</v>
      </c>
      <c r="S33" s="27">
        <f>VLOOKUP(обед5,таб,6,FALSE)</f>
        <v>0</v>
      </c>
      <c r="T33" s="26">
        <f>VLOOKUP(обед6,таб,6,FALSE)</f>
        <v>0</v>
      </c>
      <c r="U33" s="27">
        <f>VLOOKUP(обед7,таб,6,FALSE)</f>
        <v>0</v>
      </c>
      <c r="V33" s="81">
        <f>VLOOKUP(обед8,таб,6,FALSE)</f>
        <v>0</v>
      </c>
      <c r="W33" s="28">
        <f>VLOOKUP(полдник1,таб,6,FALSE)</f>
        <v>0</v>
      </c>
      <c r="X33" s="26"/>
      <c r="Y33" s="81">
        <f>VLOOKUP(полдник3,таб,6,FALSE)</f>
        <v>0</v>
      </c>
      <c r="Z33" s="28">
        <f>VLOOKUP(ужин1,таб,6,FALSE)</f>
        <v>0</v>
      </c>
      <c r="AA33" s="27">
        <f>VLOOKUP(ужин2,таб,6,FALSE)</f>
        <v>0</v>
      </c>
      <c r="AB33" s="26">
        <f>VLOOKUP(ужин3,таб,6,FALSE)</f>
        <v>0</v>
      </c>
      <c r="AC33" s="27">
        <f>VLOOKUP(ужин4,таб,6,FALSE)</f>
        <v>0</v>
      </c>
      <c r="AD33" s="26">
        <f>VLOOKUP(ужин5,таб,6,FALSE)</f>
        <v>0</v>
      </c>
      <c r="AE33" s="27">
        <f>VLOOKUP(ужин6,таб,6,FALSE)</f>
        <v>0</v>
      </c>
      <c r="AF33" s="26">
        <f>VLOOKUP(ужин7,таб,6,FALSE)</f>
        <v>0</v>
      </c>
      <c r="AG33" s="81">
        <f>VLOOKUP(ужин8,таб,6,FALSE)</f>
        <v>0</v>
      </c>
      <c r="AH33" s="141">
        <v>610036</v>
      </c>
      <c r="AI33" s="139">
        <f>AK33/сред</f>
        <v>0</v>
      </c>
      <c r="AJ33" s="140"/>
      <c r="AK33" s="143">
        <f>SUM(G34:AG34)</f>
        <v>0</v>
      </c>
      <c r="AL33" s="143"/>
      <c r="AM33" s="131">
        <f>IF(AK33=0,0,Таблиця!DZ267)</f>
        <v>0</v>
      </c>
      <c r="AN33" s="129">
        <f>AK33*AM33</f>
        <v>0</v>
      </c>
      <c r="AQ33" s="55"/>
      <c r="AR33">
        <v>33</v>
      </c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</row>
    <row r="34" spans="1:129" ht="34.5" customHeight="1">
      <c r="A34" s="163"/>
      <c r="B34" s="163"/>
      <c r="C34" s="163"/>
      <c r="D34" s="163"/>
      <c r="E34" s="164"/>
      <c r="F34" s="59" t="s">
        <v>96</v>
      </c>
      <c r="G34" s="72">
        <f aca="true" t="shared" si="14" ref="G34:N34">IF(G33=0,"",завтракл*G33/1000)</f>
      </c>
      <c r="H34" s="45">
        <f t="shared" si="14"/>
      </c>
      <c r="I34" s="44"/>
      <c r="J34" s="45">
        <f t="shared" si="14"/>
      </c>
      <c r="K34" s="44">
        <f t="shared" si="14"/>
      </c>
      <c r="L34" s="117">
        <f t="shared" si="14"/>
      </c>
      <c r="M34" s="72">
        <f t="shared" si="14"/>
      </c>
      <c r="N34" s="82">
        <f t="shared" si="14"/>
      </c>
      <c r="O34" s="46">
        <f aca="true" t="shared" si="15" ref="O34:T34">IF(O33=0,"",обідл*O33/1000)</f>
      </c>
      <c r="P34" s="44">
        <f t="shared" si="15"/>
      </c>
      <c r="Q34" s="45">
        <f t="shared" si="15"/>
      </c>
      <c r="R34" s="44">
        <f t="shared" si="15"/>
      </c>
      <c r="S34" s="45">
        <f t="shared" si="15"/>
      </c>
      <c r="T34" s="44">
        <f t="shared" si="15"/>
      </c>
      <c r="U34" s="45">
        <f>IF(U33=0,"",обідл*U33/1000)</f>
      </c>
      <c r="V34" s="82">
        <f>IF(V33=0,"",обідл*V33/1000)</f>
      </c>
      <c r="W34" s="46">
        <f>IF(W33=0,"",полдникл*W33/1000)</f>
      </c>
      <c r="X34" s="44"/>
      <c r="Y34" s="82">
        <f>IF(Y33=0,"",полдникл*Y33/1000)</f>
      </c>
      <c r="Z34" s="46">
        <f aca="true" t="shared" si="16" ref="Z34:AG34">IF(Z33=0,"",ужинл*Z33/1000)</f>
      </c>
      <c r="AA34" s="45">
        <f t="shared" si="16"/>
      </c>
      <c r="AB34" s="44">
        <f t="shared" si="16"/>
      </c>
      <c r="AC34" s="45">
        <f t="shared" si="16"/>
      </c>
      <c r="AD34" s="44">
        <f t="shared" si="16"/>
      </c>
      <c r="AE34" s="45">
        <f t="shared" si="16"/>
      </c>
      <c r="AF34" s="44">
        <f t="shared" si="16"/>
      </c>
      <c r="AG34" s="82">
        <f t="shared" si="16"/>
      </c>
      <c r="AH34" s="142"/>
      <c r="AI34" s="139"/>
      <c r="AJ34" s="140"/>
      <c r="AK34" s="143"/>
      <c r="AL34" s="143"/>
      <c r="AM34" s="132"/>
      <c r="AN34" s="130"/>
      <c r="AQ34" s="55"/>
      <c r="AR34">
        <v>34</v>
      </c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</row>
    <row r="35" spans="1:129" ht="34.5" customHeight="1">
      <c r="A35" s="163" t="s">
        <v>119</v>
      </c>
      <c r="B35" s="163"/>
      <c r="C35" s="163"/>
      <c r="D35" s="163"/>
      <c r="E35" s="164"/>
      <c r="F35" s="64" t="s">
        <v>95</v>
      </c>
      <c r="G35" s="73">
        <f>VLOOKUP(завтрак1,таб,7,FALSE)</f>
        <v>0</v>
      </c>
      <c r="H35" s="27">
        <f>VLOOKUP(завтрак2,таб,7,FALSE)</f>
        <v>0</v>
      </c>
      <c r="I35" s="26"/>
      <c r="J35" s="27">
        <f>VLOOKUP(завтрак4,таб,7,FALSE)</f>
        <v>0</v>
      </c>
      <c r="K35" s="26">
        <f>VLOOKUP(завтрак5,таб,7,FALSE)</f>
        <v>0</v>
      </c>
      <c r="L35" s="116">
        <f>VLOOKUP(завтрак6,таб,7,FALSE)</f>
        <v>0</v>
      </c>
      <c r="M35" s="71">
        <f>VLOOKUP(завтрак7,таб,7,FALSE)</f>
        <v>0</v>
      </c>
      <c r="N35" s="81">
        <f>VLOOKUP(завтрак8,таб,7,FALSE)</f>
        <v>0</v>
      </c>
      <c r="O35" s="28">
        <f>VLOOKUP(обед1,таб,7,FALSE)</f>
        <v>0</v>
      </c>
      <c r="P35" s="26">
        <f>VLOOKUP(обед2,таб,7,FALSE)</f>
        <v>0</v>
      </c>
      <c r="Q35" s="27">
        <f>VLOOKUP(обед3,таб,7,FALSE)</f>
        <v>0</v>
      </c>
      <c r="R35" s="26">
        <f>VLOOKUP(обед4,таб,7,FALSE)</f>
        <v>0</v>
      </c>
      <c r="S35" s="27">
        <f>VLOOKUP(обед5,таб,7,FALSE)</f>
        <v>0</v>
      </c>
      <c r="T35" s="26">
        <f>VLOOKUP(обед6,таб,7,FALSE)</f>
        <v>0</v>
      </c>
      <c r="U35" s="27">
        <f>VLOOKUP(обед7,таб,7,FALSE)</f>
        <v>0</v>
      </c>
      <c r="V35" s="81">
        <f>VLOOKUP(обед8,таб,7,FALSE)</f>
        <v>0</v>
      </c>
      <c r="W35" s="28">
        <f>VLOOKUP(полдник1,таб,7,FALSE)</f>
        <v>0</v>
      </c>
      <c r="X35" s="26"/>
      <c r="Y35" s="81">
        <f>VLOOKUP(полдник3,таб,7,FALSE)</f>
        <v>0</v>
      </c>
      <c r="Z35" s="28">
        <f>VLOOKUP(ужин1,таб,7,FALSE)</f>
        <v>0</v>
      </c>
      <c r="AA35" s="27">
        <f>VLOOKUP(ужин2,таб,7,FALSE)</f>
        <v>0</v>
      </c>
      <c r="AB35" s="26">
        <f>VLOOKUP(ужин3,таб,7,FALSE)</f>
        <v>0</v>
      </c>
      <c r="AC35" s="27">
        <f>VLOOKUP(ужин4,таб,7,FALSE)</f>
        <v>0</v>
      </c>
      <c r="AD35" s="26">
        <f>VLOOKUP(ужин5,таб,7,FALSE)</f>
        <v>0</v>
      </c>
      <c r="AE35" s="27">
        <f>VLOOKUP(ужин6,таб,7,FALSE)</f>
        <v>0</v>
      </c>
      <c r="AF35" s="26">
        <f>VLOOKUP(ужин7,таб,7,FALSE)</f>
        <v>0</v>
      </c>
      <c r="AG35" s="81">
        <f>VLOOKUP(ужин8,таб,7,FALSE)</f>
        <v>0</v>
      </c>
      <c r="AH35" s="141">
        <v>610052</v>
      </c>
      <c r="AI35" s="139">
        <f>AK35/сред</f>
        <v>0</v>
      </c>
      <c r="AJ35" s="140"/>
      <c r="AK35" s="143">
        <f>SUM(G36:AG36)</f>
        <v>0</v>
      </c>
      <c r="AL35" s="143"/>
      <c r="AM35" s="131">
        <f>IF(AK35=0,0,Таблиця!EA267)</f>
        <v>0</v>
      </c>
      <c r="AN35" s="129">
        <f>AK35*AM35</f>
        <v>0</v>
      </c>
      <c r="AQ35" s="55"/>
      <c r="AR35">
        <v>35</v>
      </c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</row>
    <row r="36" spans="1:129" ht="34.5" customHeight="1">
      <c r="A36" s="163"/>
      <c r="B36" s="163"/>
      <c r="C36" s="163"/>
      <c r="D36" s="163"/>
      <c r="E36" s="164"/>
      <c r="F36" s="59" t="s">
        <v>96</v>
      </c>
      <c r="G36" s="72">
        <f aca="true" t="shared" si="17" ref="G36:N36">IF(G35=0,"",завтракл*G35/1000)</f>
      </c>
      <c r="H36" s="45">
        <f t="shared" si="17"/>
      </c>
      <c r="I36" s="44"/>
      <c r="J36" s="45">
        <f t="shared" si="17"/>
      </c>
      <c r="K36" s="44">
        <f t="shared" si="17"/>
      </c>
      <c r="L36" s="117">
        <f t="shared" si="17"/>
      </c>
      <c r="M36" s="72">
        <f t="shared" si="17"/>
      </c>
      <c r="N36" s="82">
        <f t="shared" si="17"/>
      </c>
      <c r="O36" s="46">
        <f aca="true" t="shared" si="18" ref="O36:T36">IF(O35=0,"",обідл*O35/1000)</f>
      </c>
      <c r="P36" s="44">
        <f t="shared" si="18"/>
      </c>
      <c r="Q36" s="45">
        <f t="shared" si="18"/>
      </c>
      <c r="R36" s="44">
        <f t="shared" si="18"/>
      </c>
      <c r="S36" s="45">
        <f t="shared" si="18"/>
      </c>
      <c r="T36" s="44">
        <f t="shared" si="18"/>
      </c>
      <c r="U36" s="45">
        <f>IF(U35=0,"",обідл*U35/1000)</f>
      </c>
      <c r="V36" s="82">
        <f>IF(V35=0,"",обідл*V35/1000)</f>
      </c>
      <c r="W36" s="46">
        <f>IF(W35=0,"",полдникл*W35/1000)</f>
      </c>
      <c r="X36" s="44"/>
      <c r="Y36" s="82">
        <f>IF(Y35=0,"",полдникл*Y35/1000)</f>
      </c>
      <c r="Z36" s="48">
        <f aca="true" t="shared" si="19" ref="Z36:AG36">IF(Z35=0,"",ужинл*Z35/1000)</f>
      </c>
      <c r="AA36" s="45">
        <f t="shared" si="19"/>
      </c>
      <c r="AB36" s="44">
        <f t="shared" si="19"/>
      </c>
      <c r="AC36" s="45">
        <f t="shared" si="19"/>
      </c>
      <c r="AD36" s="44">
        <f t="shared" si="19"/>
      </c>
      <c r="AE36" s="45">
        <f t="shared" si="19"/>
      </c>
      <c r="AF36" s="44">
        <f t="shared" si="19"/>
      </c>
      <c r="AG36" s="82">
        <f t="shared" si="19"/>
      </c>
      <c r="AH36" s="142"/>
      <c r="AI36" s="139"/>
      <c r="AJ36" s="140"/>
      <c r="AK36" s="143"/>
      <c r="AL36" s="143"/>
      <c r="AM36" s="132"/>
      <c r="AN36" s="130"/>
      <c r="AQ36" s="55"/>
      <c r="AR36">
        <v>36</v>
      </c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</row>
    <row r="37" spans="1:129" ht="34.5" customHeight="1">
      <c r="A37" s="163" t="s">
        <v>10</v>
      </c>
      <c r="B37" s="163"/>
      <c r="C37" s="163"/>
      <c r="D37" s="163"/>
      <c r="E37" s="164"/>
      <c r="F37" s="64" t="s">
        <v>95</v>
      </c>
      <c r="G37" s="71">
        <f>VLOOKUP(завтрак1,таб,8,FALSE)</f>
        <v>0</v>
      </c>
      <c r="H37" s="27">
        <f>VLOOKUP(завтрак2,таб,8,FALSE)</f>
        <v>0</v>
      </c>
      <c r="I37" s="26"/>
      <c r="J37" s="27">
        <f>VLOOKUP(завтрак4,таб,8,FALSE)</f>
        <v>0</v>
      </c>
      <c r="K37" s="26">
        <f>VLOOKUP(завтрак5,таб,8,FALSE)</f>
        <v>0</v>
      </c>
      <c r="L37" s="116">
        <f>VLOOKUP(завтрак6,таб,8,FALSE)</f>
        <v>0</v>
      </c>
      <c r="M37" s="71">
        <f>VLOOKUP(завтрак7,таб,8,FALSE)</f>
        <v>0</v>
      </c>
      <c r="N37" s="81">
        <f>VLOOKUP(завтрак8,таб,8,FALSE)</f>
        <v>0</v>
      </c>
      <c r="O37" s="28">
        <f>VLOOKUP(обед1,таб,8,FALSE)</f>
        <v>0</v>
      </c>
      <c r="P37" s="26">
        <f>VLOOKUP(обед2,таб,8,FALSE)</f>
        <v>0</v>
      </c>
      <c r="Q37" s="27">
        <f>VLOOKUP(обед3,таб,8,FALSE)</f>
        <v>0</v>
      </c>
      <c r="R37" s="26">
        <f>VLOOKUP(обед4,таб,8,FALSE)</f>
        <v>0</v>
      </c>
      <c r="S37" s="27">
        <f>VLOOKUP(обед5,таб,8,FALSE)</f>
        <v>0</v>
      </c>
      <c r="T37" s="26">
        <f>VLOOKUP(обед6,таб,8,FALSE)</f>
        <v>0</v>
      </c>
      <c r="U37" s="27">
        <f>VLOOKUP(обед7,таб,8,FALSE)</f>
        <v>0</v>
      </c>
      <c r="V37" s="81">
        <f>VLOOKUP(обед8,таб,8,FALSE)</f>
        <v>0</v>
      </c>
      <c r="W37" s="28">
        <f>VLOOKUP(полдник1,таб,8,FALSE)</f>
        <v>0</v>
      </c>
      <c r="X37" s="26"/>
      <c r="Y37" s="81">
        <f>VLOOKUP(полдник3,таб,8,FALSE)</f>
        <v>0</v>
      </c>
      <c r="Z37" s="28">
        <f>VLOOKUP(ужин1,таб,8,FALSE)</f>
        <v>0</v>
      </c>
      <c r="AA37" s="27">
        <f>VLOOKUP(ужин2,таб,8,FALSE)</f>
        <v>66.8</v>
      </c>
      <c r="AB37" s="26">
        <f>VLOOKUP(ужин3,таб,8,FALSE)</f>
        <v>0</v>
      </c>
      <c r="AC37" s="27">
        <f>VLOOKUP(ужин4,таб,8,FALSE)</f>
        <v>0</v>
      </c>
      <c r="AD37" s="26">
        <f>VLOOKUP(ужин5,таб,8,FALSE)</f>
        <v>0</v>
      </c>
      <c r="AE37" s="27">
        <f>VLOOKUP(ужин6,таб,8,FALSE)</f>
        <v>0</v>
      </c>
      <c r="AF37" s="26">
        <f>VLOOKUP(ужин7,таб,8,FALSE)</f>
        <v>0</v>
      </c>
      <c r="AG37" s="81">
        <f>VLOOKUP(ужин8,таб,8,FALSE)</f>
        <v>0</v>
      </c>
      <c r="AH37" s="141">
        <v>611008</v>
      </c>
      <c r="AI37" s="139">
        <f>AK37/сред</f>
        <v>0.0668</v>
      </c>
      <c r="AJ37" s="140"/>
      <c r="AK37" s="143">
        <f>SUM(G38:AG38)</f>
        <v>1.336</v>
      </c>
      <c r="AL37" s="143"/>
      <c r="AM37" s="131">
        <f>IF(AK37=0,0,Таблиця!I267)</f>
        <v>76.92</v>
      </c>
      <c r="AN37" s="129">
        <f>AK37*AM37</f>
        <v>102.76512000000001</v>
      </c>
      <c r="AQ37" s="55"/>
      <c r="AR37">
        <v>37</v>
      </c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</row>
    <row r="38" spans="1:129" ht="34.5" customHeight="1">
      <c r="A38" s="163"/>
      <c r="B38" s="163"/>
      <c r="C38" s="163"/>
      <c r="D38" s="163"/>
      <c r="E38" s="164"/>
      <c r="F38" s="59" t="s">
        <v>96</v>
      </c>
      <c r="G38" s="72">
        <f aca="true" t="shared" si="20" ref="G38:N38">IF(G37=0,"",завтракл*G37/1000)</f>
      </c>
      <c r="H38" s="45">
        <f t="shared" si="20"/>
      </c>
      <c r="I38" s="44"/>
      <c r="J38" s="45">
        <f t="shared" si="20"/>
      </c>
      <c r="K38" s="44">
        <f t="shared" si="20"/>
      </c>
      <c r="L38" s="117">
        <f t="shared" si="20"/>
      </c>
      <c r="M38" s="72">
        <f t="shared" si="20"/>
      </c>
      <c r="N38" s="82">
        <f t="shared" si="20"/>
      </c>
      <c r="O38" s="46">
        <f aca="true" t="shared" si="21" ref="O38:T38">IF(O37=0,"",обідл*O37/1000)</f>
      </c>
      <c r="P38" s="44">
        <f t="shared" si="21"/>
      </c>
      <c r="Q38" s="45">
        <f t="shared" si="21"/>
      </c>
      <c r="R38" s="44">
        <f t="shared" si="21"/>
      </c>
      <c r="S38" s="45">
        <f t="shared" si="21"/>
      </c>
      <c r="T38" s="44">
        <f t="shared" si="21"/>
      </c>
      <c r="U38" s="45">
        <f>IF(U37=0,"",обідл*U37/1000)</f>
      </c>
      <c r="V38" s="82">
        <f>IF(V37=0,"",обідл*V37/1000)</f>
      </c>
      <c r="W38" s="46">
        <f>IF(W37=0,"",полдникл*W37/1000)</f>
      </c>
      <c r="X38" s="44"/>
      <c r="Y38" s="82">
        <f>IF(Y37=0,"",полдникл*Y37/1000)</f>
      </c>
      <c r="Z38" s="46">
        <f aca="true" t="shared" si="22" ref="Z38:AG38">IF(Z37=0,"",ужинл*Z37/1000)</f>
      </c>
      <c r="AA38" s="45">
        <f t="shared" si="22"/>
        <v>1.336</v>
      </c>
      <c r="AB38" s="44">
        <f t="shared" si="22"/>
      </c>
      <c r="AC38" s="45">
        <f t="shared" si="22"/>
      </c>
      <c r="AD38" s="44">
        <f t="shared" si="22"/>
      </c>
      <c r="AE38" s="45">
        <f t="shared" si="22"/>
      </c>
      <c r="AF38" s="44">
        <f t="shared" si="22"/>
      </c>
      <c r="AG38" s="82">
        <f t="shared" si="22"/>
      </c>
      <c r="AH38" s="142"/>
      <c r="AI38" s="139"/>
      <c r="AJ38" s="140"/>
      <c r="AK38" s="143"/>
      <c r="AL38" s="143"/>
      <c r="AM38" s="132"/>
      <c r="AN38" s="130"/>
      <c r="AQ38" s="54"/>
      <c r="AR38">
        <v>38</v>
      </c>
      <c r="DE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</row>
    <row r="39" spans="1:129" ht="34.5" customHeight="1">
      <c r="A39" s="163" t="s">
        <v>103</v>
      </c>
      <c r="B39" s="163"/>
      <c r="C39" s="163"/>
      <c r="D39" s="163"/>
      <c r="E39" s="164"/>
      <c r="F39" s="64" t="s">
        <v>95</v>
      </c>
      <c r="G39" s="71">
        <f>VLOOKUP(завтрак1,таб,9,FALSE)</f>
        <v>0</v>
      </c>
      <c r="H39" s="27">
        <f>VLOOKUP(завтрак2,таб,9,FALSE)</f>
        <v>0</v>
      </c>
      <c r="I39" s="26"/>
      <c r="J39" s="27">
        <f>VLOOKUP(завтрак4,таб,9,FALSE)</f>
        <v>0</v>
      </c>
      <c r="K39" s="26">
        <f>VLOOKUP(завтрак5,таб,9,FALSE)</f>
        <v>0</v>
      </c>
      <c r="L39" s="116">
        <f>VLOOKUP(завтрак6,таб,9,FALSE)</f>
        <v>0</v>
      </c>
      <c r="M39" s="71">
        <f>VLOOKUP(завтрак7,таб,9,FALSE)</f>
        <v>0</v>
      </c>
      <c r="N39" s="81">
        <f>VLOOKUP(завтрак8,таб,9,FALSE)</f>
        <v>0</v>
      </c>
      <c r="O39" s="28">
        <f>VLOOKUP(обед1,таб,9,FALSE)</f>
        <v>0</v>
      </c>
      <c r="P39" s="26">
        <f>VLOOKUP(обед2,таб,9,FALSE)</f>
        <v>0</v>
      </c>
      <c r="Q39" s="27">
        <f>VLOOKUP(обед3,таб,9,FALSE)</f>
        <v>0</v>
      </c>
      <c r="R39" s="26">
        <f>VLOOKUP(обед4,таб,9,FALSE)</f>
        <v>0</v>
      </c>
      <c r="S39" s="27">
        <f>VLOOKUP(обед5,таб,9,FALSE)</f>
        <v>0</v>
      </c>
      <c r="T39" s="26">
        <f>VLOOKUP(обед6,таб,9,FALSE)</f>
        <v>0</v>
      </c>
      <c r="U39" s="27">
        <f>VLOOKUP(обед7,таб,9,FALSE)</f>
        <v>0</v>
      </c>
      <c r="V39" s="81">
        <f>VLOOKUP(обед8,таб,9,FALSE)</f>
        <v>0</v>
      </c>
      <c r="W39" s="28">
        <f>VLOOKUP(полдник1,таб,9,FALSE)</f>
        <v>0</v>
      </c>
      <c r="X39" s="26"/>
      <c r="Y39" s="81">
        <f>VLOOKUP(полдник3,таб,9,FALSE)</f>
        <v>0</v>
      </c>
      <c r="Z39" s="28">
        <f>VLOOKUP(ужин1,таб,9,FALSE)</f>
        <v>0</v>
      </c>
      <c r="AA39" s="27">
        <f>VLOOKUP(ужин2,таб,9,FALSE)</f>
        <v>0</v>
      </c>
      <c r="AB39" s="26">
        <f>VLOOKUP(ужин3,таб,9,FALSE)</f>
        <v>0</v>
      </c>
      <c r="AC39" s="27">
        <f>VLOOKUP(ужин4,таб,9,FALSE)</f>
        <v>0</v>
      </c>
      <c r="AD39" s="26">
        <f>VLOOKUP(ужин5,таб,9,FALSE)</f>
        <v>0</v>
      </c>
      <c r="AE39" s="27">
        <f>VLOOKUP(ужин6,таб,9,FALSE)</f>
        <v>0</v>
      </c>
      <c r="AF39" s="26">
        <f>VLOOKUP(ужин7,таб,9,FALSE)</f>
        <v>0</v>
      </c>
      <c r="AG39" s="81">
        <f>VLOOKUP(ужин8,таб,9,FALSE)</f>
        <v>0</v>
      </c>
      <c r="AH39" s="141">
        <v>611017</v>
      </c>
      <c r="AI39" s="139">
        <f>AK39/сред</f>
        <v>0</v>
      </c>
      <c r="AJ39" s="140"/>
      <c r="AK39" s="143">
        <f>SUM(G40:AG40)</f>
        <v>0</v>
      </c>
      <c r="AL39" s="143"/>
      <c r="AM39" s="131">
        <f>IF(AK39=0,0,Таблиця!EB267)</f>
        <v>0</v>
      </c>
      <c r="AN39" s="129">
        <f>AK39*AM39</f>
        <v>0</v>
      </c>
      <c r="AQ39" s="55"/>
      <c r="AR39">
        <v>39</v>
      </c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</row>
    <row r="40" spans="1:129" ht="34.5" customHeight="1">
      <c r="A40" s="163"/>
      <c r="B40" s="163"/>
      <c r="C40" s="163"/>
      <c r="D40" s="163"/>
      <c r="E40" s="164"/>
      <c r="F40" s="59" t="s">
        <v>96</v>
      </c>
      <c r="G40" s="72">
        <f aca="true" t="shared" si="23" ref="G40:N40">IF(G39=0,"",завтракл*G39/1000)</f>
      </c>
      <c r="H40" s="45">
        <f t="shared" si="23"/>
      </c>
      <c r="I40" s="44"/>
      <c r="J40" s="45">
        <f t="shared" si="23"/>
      </c>
      <c r="K40" s="44">
        <f t="shared" si="23"/>
      </c>
      <c r="L40" s="117">
        <f t="shared" si="23"/>
      </c>
      <c r="M40" s="72">
        <f t="shared" si="23"/>
      </c>
      <c r="N40" s="82">
        <f t="shared" si="23"/>
      </c>
      <c r="O40" s="46">
        <f aca="true" t="shared" si="24" ref="O40:T40">IF(O39=0,"",обідл*O39/1000)</f>
      </c>
      <c r="P40" s="44">
        <f t="shared" si="24"/>
      </c>
      <c r="Q40" s="45">
        <f t="shared" si="24"/>
      </c>
      <c r="R40" s="44">
        <f t="shared" si="24"/>
      </c>
      <c r="S40" s="45">
        <f t="shared" si="24"/>
      </c>
      <c r="T40" s="44">
        <f t="shared" si="24"/>
      </c>
      <c r="U40" s="45">
        <f>IF(U39=0,"",обідл*U39/1000)</f>
      </c>
      <c r="V40" s="82">
        <f>IF(V39=0,"",обідл*V39/1000)</f>
      </c>
      <c r="W40" s="46">
        <f>IF(W39=0,"",полдникл*W39/1000)</f>
      </c>
      <c r="X40" s="44"/>
      <c r="Y40" s="82">
        <f>IF(Y39=0,"",полдникл*Y39/1000)</f>
      </c>
      <c r="Z40" s="46">
        <f aca="true" t="shared" si="25" ref="Z40:AG40">IF(Z39=0,"",ужинл*Z39/1000)</f>
      </c>
      <c r="AA40" s="45">
        <f t="shared" si="25"/>
      </c>
      <c r="AB40" s="44">
        <f t="shared" si="25"/>
      </c>
      <c r="AC40" s="45">
        <f t="shared" si="25"/>
      </c>
      <c r="AD40" s="44">
        <f t="shared" si="25"/>
      </c>
      <c r="AE40" s="45">
        <f t="shared" si="25"/>
      </c>
      <c r="AF40" s="44">
        <f t="shared" si="25"/>
      </c>
      <c r="AG40" s="82">
        <f t="shared" si="25"/>
      </c>
      <c r="AH40" s="142"/>
      <c r="AI40" s="139"/>
      <c r="AJ40" s="140"/>
      <c r="AK40" s="143"/>
      <c r="AL40" s="143"/>
      <c r="AM40" s="132"/>
      <c r="AN40" s="130"/>
      <c r="AQ40" s="55"/>
      <c r="AR40">
        <v>40</v>
      </c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</row>
    <row r="41" spans="1:129" ht="34.5" customHeight="1">
      <c r="A41" s="163" t="s">
        <v>11</v>
      </c>
      <c r="B41" s="163"/>
      <c r="C41" s="163"/>
      <c r="D41" s="163"/>
      <c r="E41" s="164"/>
      <c r="F41" s="64" t="s">
        <v>95</v>
      </c>
      <c r="G41" s="71">
        <f>VLOOKUP(завтрак1,таб,10,FALSE)</f>
        <v>0</v>
      </c>
      <c r="H41" s="27">
        <v>3.5</v>
      </c>
      <c r="I41" s="26"/>
      <c r="J41" s="27">
        <f>VLOOKUP(завтрак4,таб,10,FALSE)</f>
        <v>0</v>
      </c>
      <c r="K41" s="26">
        <f>VLOOKUP(завтрак5,таб,10,FALSE)</f>
        <v>0</v>
      </c>
      <c r="L41" s="116">
        <f>VLOOKUP(завтрак6,таб,10,FALSE)</f>
        <v>0</v>
      </c>
      <c r="M41" s="71">
        <f>VLOOKUP(завтрак7,таб,10,FALSE)</f>
        <v>0</v>
      </c>
      <c r="N41" s="81">
        <f>VLOOKUP(завтрак8,таб,10,FALSE)</f>
        <v>0</v>
      </c>
      <c r="O41" s="28">
        <f>VLOOKUP(обед1,таб,10,FALSE)</f>
        <v>0</v>
      </c>
      <c r="P41" s="26">
        <v>3.5</v>
      </c>
      <c r="Q41" s="27">
        <f>VLOOKUP(обед3,таб,10,FALSE)</f>
        <v>0</v>
      </c>
      <c r="R41" s="26">
        <f>VLOOKUP(обед4,таб,10,FALSE)</f>
        <v>0</v>
      </c>
      <c r="S41" s="27">
        <f>VLOOKUP(обед5,таб,10,FALSE)</f>
        <v>0</v>
      </c>
      <c r="T41" s="26">
        <f>VLOOKUP(обед6,таб,10,FALSE)</f>
        <v>0</v>
      </c>
      <c r="U41" s="27">
        <f>VLOOKUP(обед7,таб,10,FALSE)</f>
        <v>0</v>
      </c>
      <c r="V41" s="81">
        <f>VLOOKUP(обед8,таб,10,FALSE)</f>
        <v>0</v>
      </c>
      <c r="W41" s="28">
        <f>VLOOKUP(полдник1,таб,10,FALSE)</f>
        <v>0</v>
      </c>
      <c r="X41" s="26"/>
      <c r="Y41" s="81">
        <f>VLOOKUP(полдник3,таб,10,FALSE)</f>
        <v>0</v>
      </c>
      <c r="Z41" s="28">
        <f>VLOOKUP(ужин1,таб,10,FALSE)</f>
        <v>0</v>
      </c>
      <c r="AA41" s="27">
        <v>3.5</v>
      </c>
      <c r="AB41" s="26">
        <f>VLOOKUP(ужин3,таб,10,FALSE)</f>
        <v>0</v>
      </c>
      <c r="AC41" s="27">
        <f>VLOOKUP(ужин4,таб,10,FALSE)</f>
        <v>0</v>
      </c>
      <c r="AD41" s="26">
        <f>VLOOKUP(ужин5,таб,10,FALSE)</f>
        <v>0</v>
      </c>
      <c r="AE41" s="27">
        <f>VLOOKUP(ужин6,таб,10,FALSE)</f>
        <v>0</v>
      </c>
      <c r="AF41" s="26">
        <f>VLOOKUP(ужин7,таб,10,FALSE)</f>
        <v>0</v>
      </c>
      <c r="AG41" s="81">
        <f>VLOOKUP(ужин8,таб,10,FALSE)</f>
        <v>0</v>
      </c>
      <c r="AH41" s="141">
        <v>612001</v>
      </c>
      <c r="AI41" s="139">
        <f>AK41/сред</f>
        <v>0.0105</v>
      </c>
      <c r="AJ41" s="140"/>
      <c r="AK41" s="143">
        <f>SUM(G42:AG42)</f>
        <v>0.21000000000000002</v>
      </c>
      <c r="AL41" s="143"/>
      <c r="AM41" s="131">
        <f>IF(AK41=0,0,Таблиця!K267)</f>
        <v>166.66</v>
      </c>
      <c r="AN41" s="129">
        <f>AK41*AM41</f>
        <v>34.9986</v>
      </c>
      <c r="AQ41" s="54"/>
      <c r="AR41">
        <v>41</v>
      </c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</row>
    <row r="42" spans="1:129" ht="34.5" customHeight="1">
      <c r="A42" s="163"/>
      <c r="B42" s="163"/>
      <c r="C42" s="163"/>
      <c r="D42" s="163"/>
      <c r="E42" s="164"/>
      <c r="F42" s="59" t="s">
        <v>96</v>
      </c>
      <c r="G42" s="72">
        <f aca="true" t="shared" si="26" ref="G42:N42">IF(G41=0,"",завтракл*G41/1000)</f>
      </c>
      <c r="H42" s="45">
        <f t="shared" si="26"/>
        <v>0.07</v>
      </c>
      <c r="I42" s="44"/>
      <c r="J42" s="45">
        <f t="shared" si="26"/>
      </c>
      <c r="K42" s="44">
        <f t="shared" si="26"/>
      </c>
      <c r="L42" s="117">
        <f t="shared" si="26"/>
      </c>
      <c r="M42" s="72">
        <f t="shared" si="26"/>
      </c>
      <c r="N42" s="82">
        <f t="shared" si="26"/>
      </c>
      <c r="O42" s="46">
        <f aca="true" t="shared" si="27" ref="O42:T42">IF(O41=0,"",обідл*O41/1000)</f>
      </c>
      <c r="P42" s="44">
        <f t="shared" si="27"/>
        <v>0.07</v>
      </c>
      <c r="Q42" s="45">
        <f t="shared" si="27"/>
      </c>
      <c r="R42" s="44">
        <f t="shared" si="27"/>
      </c>
      <c r="S42" s="45">
        <f t="shared" si="27"/>
      </c>
      <c r="T42" s="44">
        <f t="shared" si="27"/>
      </c>
      <c r="U42" s="45">
        <f>IF(U41=0,"",обідл*U41/1000)</f>
      </c>
      <c r="V42" s="82">
        <f>IF(V41=0,"",обідл*V41/1000)</f>
      </c>
      <c r="W42" s="46">
        <f>IF(W41=0,"",полдникл*W41/1000)</f>
      </c>
      <c r="X42" s="44"/>
      <c r="Y42" s="82">
        <f>IF(Y41=0,"",полдникл*Y41/1000)</f>
      </c>
      <c r="Z42" s="46">
        <f aca="true" t="shared" si="28" ref="Z42:AG42">IF(Z41=0,"",ужинл*Z41/1000)</f>
      </c>
      <c r="AA42" s="45">
        <f t="shared" si="28"/>
        <v>0.07</v>
      </c>
      <c r="AB42" s="44">
        <f t="shared" si="28"/>
      </c>
      <c r="AC42" s="45">
        <f t="shared" si="28"/>
      </c>
      <c r="AD42" s="44">
        <f t="shared" si="28"/>
      </c>
      <c r="AE42" s="45">
        <f t="shared" si="28"/>
      </c>
      <c r="AF42" s="44">
        <f t="shared" si="28"/>
      </c>
      <c r="AG42" s="82">
        <f t="shared" si="28"/>
      </c>
      <c r="AH42" s="142"/>
      <c r="AI42" s="139"/>
      <c r="AJ42" s="140"/>
      <c r="AK42" s="143"/>
      <c r="AL42" s="143"/>
      <c r="AM42" s="132"/>
      <c r="AN42" s="130"/>
      <c r="AQ42" s="55"/>
      <c r="AR42">
        <v>42</v>
      </c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</row>
    <row r="43" spans="1:129" ht="34.5" customHeight="1">
      <c r="A43" s="163" t="s">
        <v>12</v>
      </c>
      <c r="B43" s="163"/>
      <c r="C43" s="163"/>
      <c r="D43" s="163"/>
      <c r="E43" s="164"/>
      <c r="F43" s="64" t="s">
        <v>95</v>
      </c>
      <c r="G43" s="71">
        <f>VLOOKUP(завтрак1,таб,11,FALSE)</f>
        <v>0</v>
      </c>
      <c r="H43" s="27">
        <f>VLOOKUP(завтрак2,таб,11,FALSE)</f>
        <v>0</v>
      </c>
      <c r="I43" s="26"/>
      <c r="J43" s="27">
        <f>VLOOKUP(завтрак4,таб,11,FALSE)</f>
        <v>0</v>
      </c>
      <c r="K43" s="26">
        <f>VLOOKUP(завтрак5,таб,11,FALSE)</f>
        <v>0</v>
      </c>
      <c r="L43" s="116">
        <f>VLOOKUP(завтрак6,таб,11,FALSE)</f>
        <v>0</v>
      </c>
      <c r="M43" s="71">
        <f>VLOOKUP(завтрак7,таб,11,FALSE)</f>
        <v>0</v>
      </c>
      <c r="N43" s="81">
        <f>VLOOKUP(завтрак8,таб,11,FALSE)</f>
        <v>0</v>
      </c>
      <c r="O43" s="28"/>
      <c r="P43" s="26">
        <f>VLOOKUP(обед2,таб,11,FALSE)</f>
        <v>0</v>
      </c>
      <c r="Q43" s="27">
        <f>VLOOKUP(обед3,таб,11,FALSE)</f>
        <v>0</v>
      </c>
      <c r="R43" s="26">
        <f>VLOOKUP(обед4,таб,11,FALSE)</f>
        <v>0</v>
      </c>
      <c r="S43" s="27">
        <f>VLOOKUP(обед5,таб,11,FALSE)</f>
        <v>0</v>
      </c>
      <c r="T43" s="26">
        <f>VLOOKUP(обед6,таб,11,FALSE)</f>
        <v>0</v>
      </c>
      <c r="U43" s="27">
        <f>VLOOKUP(обед7,таб,11,FALSE)</f>
        <v>0</v>
      </c>
      <c r="V43" s="81">
        <f>VLOOKUP(обед8,таб,11,FALSE)</f>
        <v>0</v>
      </c>
      <c r="W43" s="28">
        <f>VLOOKUP(полдник1,таб,11,FALSE)</f>
        <v>0</v>
      </c>
      <c r="X43" s="26"/>
      <c r="Y43" s="81">
        <f>VLOOKUP(полдник3,таб,11,FALSE)</f>
        <v>0</v>
      </c>
      <c r="Z43" s="28">
        <f>VLOOKUP(ужин1,таб,11,FALSE)</f>
        <v>0</v>
      </c>
      <c r="AA43" s="27">
        <f>VLOOKUP(ужин2,таб,11,FALSE)</f>
        <v>0</v>
      </c>
      <c r="AB43" s="26">
        <f>VLOOKUP(ужин3,таб,11,FALSE)</f>
        <v>0</v>
      </c>
      <c r="AC43" s="27">
        <f>VLOOKUP(ужин4,таб,11,FALSE)</f>
        <v>0</v>
      </c>
      <c r="AD43" s="26">
        <f>VLOOKUP(ужин5,таб,11,FALSE)</f>
        <v>0</v>
      </c>
      <c r="AE43" s="27">
        <f>VLOOKUP(ужин6,таб,11,FALSE)</f>
        <v>0</v>
      </c>
      <c r="AF43" s="26">
        <f>VLOOKUP(ужин7,таб,11,FALSE)</f>
        <v>0</v>
      </c>
      <c r="AG43" s="81">
        <f>VLOOKUP(ужин8,таб,11,FALSE)</f>
        <v>0</v>
      </c>
      <c r="AH43" s="141">
        <v>612002</v>
      </c>
      <c r="AI43" s="139">
        <f>AK43/сред</f>
        <v>0</v>
      </c>
      <c r="AJ43" s="140"/>
      <c r="AK43" s="143">
        <f>SUM(G44:AG44)</f>
        <v>0</v>
      </c>
      <c r="AL43" s="143"/>
      <c r="AM43" s="131">
        <f>IF(AK43=0,0,Таблиця!EC267)</f>
        <v>0</v>
      </c>
      <c r="AN43" s="129">
        <f>AK43*AM43</f>
        <v>0</v>
      </c>
      <c r="AQ43" s="55"/>
      <c r="AR43">
        <v>43</v>
      </c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</row>
    <row r="44" spans="1:129" ht="34.5" customHeight="1">
      <c r="A44" s="163"/>
      <c r="B44" s="163"/>
      <c r="C44" s="163"/>
      <c r="D44" s="163"/>
      <c r="E44" s="164"/>
      <c r="F44" s="59" t="s">
        <v>96</v>
      </c>
      <c r="G44" s="72">
        <f aca="true" t="shared" si="29" ref="G44:N44">IF(G43=0,"",завтракл*G43/1000)</f>
      </c>
      <c r="H44" s="45">
        <f t="shared" si="29"/>
      </c>
      <c r="I44" s="44"/>
      <c r="J44" s="45">
        <f t="shared" si="29"/>
      </c>
      <c r="K44" s="44">
        <f t="shared" si="29"/>
      </c>
      <c r="L44" s="117">
        <f t="shared" si="29"/>
      </c>
      <c r="M44" s="72">
        <f t="shared" si="29"/>
      </c>
      <c r="N44" s="82">
        <f t="shared" si="29"/>
      </c>
      <c r="O44" s="46">
        <f aca="true" t="shared" si="30" ref="O44:T44">IF(O43=0,"",обідл*O43/1000)</f>
      </c>
      <c r="P44" s="44">
        <f t="shared" si="30"/>
      </c>
      <c r="Q44" s="45">
        <f t="shared" si="30"/>
      </c>
      <c r="R44" s="44">
        <f t="shared" si="30"/>
      </c>
      <c r="S44" s="45">
        <f t="shared" si="30"/>
      </c>
      <c r="T44" s="44">
        <f t="shared" si="30"/>
      </c>
      <c r="U44" s="45">
        <f>IF(U43=0,"",обідл*U43/1000)</f>
      </c>
      <c r="V44" s="82">
        <f>IF(V43=0,"",обідл*V43/1000)</f>
      </c>
      <c r="W44" s="46">
        <f>IF(W43=0,"",полдникл*W43/1000)</f>
      </c>
      <c r="X44" s="44"/>
      <c r="Y44" s="82">
        <f>IF(Y43=0,"",полдникл*Y43/1000)</f>
      </c>
      <c r="Z44" s="46">
        <f aca="true" t="shared" si="31" ref="Z44:AG44">IF(Z43=0,"",ужинл*Z43/1000)</f>
      </c>
      <c r="AA44" s="45">
        <f t="shared" si="31"/>
      </c>
      <c r="AB44" s="44">
        <f t="shared" si="31"/>
      </c>
      <c r="AC44" s="45">
        <f t="shared" si="31"/>
      </c>
      <c r="AD44" s="44">
        <f t="shared" si="31"/>
      </c>
      <c r="AE44" s="45">
        <f t="shared" si="31"/>
      </c>
      <c r="AF44" s="44">
        <f t="shared" si="31"/>
      </c>
      <c r="AG44" s="82">
        <f t="shared" si="31"/>
      </c>
      <c r="AH44" s="142"/>
      <c r="AI44" s="139"/>
      <c r="AJ44" s="140"/>
      <c r="AK44" s="143"/>
      <c r="AL44" s="143"/>
      <c r="AM44" s="132"/>
      <c r="AN44" s="130"/>
      <c r="AQ44" s="55"/>
      <c r="AR44">
        <v>44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</row>
    <row r="45" spans="1:129" ht="34.5" customHeight="1">
      <c r="A45" s="163" t="s">
        <v>4</v>
      </c>
      <c r="B45" s="163"/>
      <c r="C45" s="163"/>
      <c r="D45" s="163"/>
      <c r="E45" s="164"/>
      <c r="F45" s="64" t="s">
        <v>95</v>
      </c>
      <c r="G45" s="71">
        <f>VLOOKUP(завтрак1,таб,12,FALSE)</f>
        <v>0</v>
      </c>
      <c r="H45" s="27">
        <f>VLOOKUP(завтрак2,таб,12,FALSE)</f>
        <v>0</v>
      </c>
      <c r="I45" s="26"/>
      <c r="J45" s="27">
        <f>VLOOKUP(завтрак4,таб,12,FALSE)</f>
        <v>0</v>
      </c>
      <c r="K45" s="26">
        <f>VLOOKUP(завтрак5,таб,12,FALSE)</f>
        <v>0</v>
      </c>
      <c r="L45" s="116">
        <f>VLOOKUP(завтрак6,таб,12,FALSE)</f>
        <v>0</v>
      </c>
      <c r="M45" s="71">
        <f>VLOOKUP(завтрак7,таб,12,FALSE)</f>
        <v>0</v>
      </c>
      <c r="N45" s="81">
        <f>VLOOKUP(завтрак8,таб,12,FALSE)</f>
        <v>0</v>
      </c>
      <c r="O45" s="28">
        <f>VLOOKUP(обед1,таб,12,FALSE)</f>
        <v>0</v>
      </c>
      <c r="P45" s="26">
        <f>VLOOKUP(обед2,таб,12,FALSE)</f>
        <v>0</v>
      </c>
      <c r="Q45" s="27">
        <f>VLOOKUP(обед3,таб,12,FALSE)</f>
        <v>0</v>
      </c>
      <c r="R45" s="26">
        <f>VLOOKUP(обед4,таб,12,FALSE)</f>
        <v>0</v>
      </c>
      <c r="S45" s="27">
        <f>VLOOKUP(обед5,таб,12,FALSE)</f>
        <v>0</v>
      </c>
      <c r="T45" s="26">
        <f>VLOOKUP(обед6,таб,12,FALSE)</f>
        <v>0</v>
      </c>
      <c r="U45" s="27">
        <f>VLOOKUP(обед7,таб,12,FALSE)</f>
        <v>0</v>
      </c>
      <c r="V45" s="81">
        <f>VLOOKUP(обед8,таб,12,FALSE)</f>
        <v>0</v>
      </c>
      <c r="W45" s="28">
        <f>VLOOKUP(полдник1,таб,12,FALSE)</f>
        <v>0</v>
      </c>
      <c r="X45" s="26"/>
      <c r="Y45" s="81">
        <f>VLOOKUP(полдник3,таб,12,FALSE)</f>
        <v>0</v>
      </c>
      <c r="Z45" s="28">
        <f>VLOOKUP(ужин1,таб,12,FALSE)</f>
        <v>0</v>
      </c>
      <c r="AA45" s="27">
        <f>VLOOKUP(ужин2,таб,12,FALSE)</f>
        <v>0</v>
      </c>
      <c r="AB45" s="26">
        <f>VLOOKUP(ужин3,таб,12,FALSE)</f>
        <v>0</v>
      </c>
      <c r="AC45" s="27">
        <f>VLOOKUP(ужин4,таб,12,FALSE)</f>
        <v>0</v>
      </c>
      <c r="AD45" s="26">
        <f>VLOOKUP(ужин5,таб,12,FALSE)</f>
        <v>0</v>
      </c>
      <c r="AE45" s="27">
        <f>VLOOKUP(ужин6,таб,12,FALSE)</f>
        <v>0</v>
      </c>
      <c r="AF45" s="26">
        <f>VLOOKUP(ужин7,таб,12,FALSE)</f>
        <v>0</v>
      </c>
      <c r="AG45" s="81">
        <f>VLOOKUP(ужин8,таб,12,FALSE)</f>
        <v>0</v>
      </c>
      <c r="AH45" s="141">
        <v>612024</v>
      </c>
      <c r="AI45" s="139">
        <f>AK45/сред</f>
        <v>0</v>
      </c>
      <c r="AJ45" s="140"/>
      <c r="AK45" s="143">
        <f>SUM(G46:AG46)</f>
        <v>0</v>
      </c>
      <c r="AL45" s="143"/>
      <c r="AM45" s="131">
        <f>IF(AK45=0,0,Таблиця!ED267)</f>
        <v>0</v>
      </c>
      <c r="AN45" s="129">
        <f>AK45*AM45</f>
        <v>0</v>
      </c>
      <c r="AQ45" s="54"/>
      <c r="AR45">
        <v>45</v>
      </c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</row>
    <row r="46" spans="1:129" ht="34.5" customHeight="1">
      <c r="A46" s="163"/>
      <c r="B46" s="163"/>
      <c r="C46" s="163"/>
      <c r="D46" s="163"/>
      <c r="E46" s="164"/>
      <c r="F46" s="59" t="s">
        <v>96</v>
      </c>
      <c r="G46" s="74">
        <f aca="true" t="shared" si="32" ref="G46:N46">IF(G45=0,"",завтракл*G45/1000)</f>
      </c>
      <c r="H46" s="47">
        <f t="shared" si="32"/>
      </c>
      <c r="I46" s="43"/>
      <c r="J46" s="47">
        <f t="shared" si="32"/>
      </c>
      <c r="K46" s="43">
        <f t="shared" si="32"/>
      </c>
      <c r="L46" s="118">
        <f t="shared" si="32"/>
      </c>
      <c r="M46" s="72">
        <f t="shared" si="32"/>
      </c>
      <c r="N46" s="82">
        <f t="shared" si="32"/>
      </c>
      <c r="O46" s="48">
        <f aca="true" t="shared" si="33" ref="O46:T46">IF(O45=0,"",обідл*O45/1000)</f>
      </c>
      <c r="P46" s="43">
        <f t="shared" si="33"/>
      </c>
      <c r="Q46" s="47">
        <f t="shared" si="33"/>
      </c>
      <c r="R46" s="43">
        <f t="shared" si="33"/>
      </c>
      <c r="S46" s="47">
        <f t="shared" si="33"/>
      </c>
      <c r="T46" s="43">
        <f t="shared" si="33"/>
      </c>
      <c r="U46" s="47">
        <f>IF(U45=0,"",обідл*U45/1000)</f>
      </c>
      <c r="V46" s="85">
        <f>IF(V45=0,"",обідл*V45/1000)</f>
      </c>
      <c r="W46" s="48">
        <f>IF(W45=0,"",полдникл*W45/1000)</f>
      </c>
      <c r="X46" s="43"/>
      <c r="Y46" s="85">
        <f>IF(Y45=0,"",полдникл*Y45/1000)</f>
      </c>
      <c r="Z46" s="48">
        <f aca="true" t="shared" si="34" ref="Z46:AG46">IF(Z45=0,"",ужинл*Z45/1000)</f>
      </c>
      <c r="AA46" s="47">
        <f t="shared" si="34"/>
      </c>
      <c r="AB46" s="43">
        <f t="shared" si="34"/>
      </c>
      <c r="AC46" s="47">
        <f t="shared" si="34"/>
      </c>
      <c r="AD46" s="43">
        <f t="shared" si="34"/>
      </c>
      <c r="AE46" s="47">
        <f t="shared" si="34"/>
      </c>
      <c r="AF46" s="43">
        <f t="shared" si="34"/>
      </c>
      <c r="AG46" s="85">
        <f t="shared" si="34"/>
      </c>
      <c r="AH46" s="142"/>
      <c r="AI46" s="139"/>
      <c r="AJ46" s="140"/>
      <c r="AK46" s="143"/>
      <c r="AL46" s="143"/>
      <c r="AM46" s="132"/>
      <c r="AN46" s="130"/>
      <c r="AQ46" s="55"/>
      <c r="AR46">
        <v>46</v>
      </c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</row>
    <row r="47" spans="1:129" ht="34.5" customHeight="1">
      <c r="A47" s="163" t="s">
        <v>13</v>
      </c>
      <c r="B47" s="163"/>
      <c r="C47" s="163"/>
      <c r="D47" s="163"/>
      <c r="E47" s="164"/>
      <c r="F47" s="64" t="s">
        <v>95</v>
      </c>
      <c r="G47" s="71">
        <f>VLOOKUP(завтрак1,таб,13,FALSE)</f>
        <v>3.4</v>
      </c>
      <c r="H47" s="27"/>
      <c r="I47" s="26"/>
      <c r="J47" s="27">
        <f>VLOOKUP(завтрак4,таб,13,FALSE)</f>
        <v>0</v>
      </c>
      <c r="K47" s="26">
        <f>VLOOKUP(завтрак5,таб,13,FALSE)</f>
        <v>0</v>
      </c>
      <c r="L47" s="116">
        <f>VLOOKUP(завтрак6,таб,13,FALSE)</f>
        <v>0</v>
      </c>
      <c r="M47" s="71">
        <f>VLOOKUP(завтрак7,таб,13,FALSE)</f>
        <v>0</v>
      </c>
      <c r="N47" s="81">
        <f>VLOOKUP(завтрак8,таб,13,FALSE)</f>
        <v>0</v>
      </c>
      <c r="O47" s="28">
        <v>3</v>
      </c>
      <c r="P47" s="26">
        <v>2</v>
      </c>
      <c r="Q47" s="27">
        <v>2</v>
      </c>
      <c r="R47" s="26">
        <f>VLOOKUP(обед4,таб,13,FALSE)</f>
        <v>0</v>
      </c>
      <c r="S47" s="27">
        <f>VLOOKUP(обед5,таб,13,FALSE)</f>
        <v>0</v>
      </c>
      <c r="T47" s="26">
        <f>VLOOKUP(обед6,таб,13,FALSE)</f>
        <v>0</v>
      </c>
      <c r="U47" s="27">
        <f>VLOOKUP(обед7,таб,13,FALSE)</f>
        <v>0</v>
      </c>
      <c r="V47" s="81">
        <f>VLOOKUP(обед8,таб,13,FALSE)</f>
        <v>0</v>
      </c>
      <c r="W47" s="28">
        <f>VLOOKUP(полдник1,таб,13,FALSE)</f>
        <v>0</v>
      </c>
      <c r="X47" s="26"/>
      <c r="Y47" s="81">
        <f>VLOOKUP(полдник3,таб,13,FALSE)</f>
        <v>0</v>
      </c>
      <c r="Z47" s="28">
        <v>3</v>
      </c>
      <c r="AA47" s="27">
        <v>3</v>
      </c>
      <c r="AB47" s="26">
        <f>VLOOKUP(ужин3,таб,13,FALSE)</f>
        <v>0</v>
      </c>
      <c r="AC47" s="27">
        <f>VLOOKUP(ужин4,таб,13,FALSE)</f>
        <v>0</v>
      </c>
      <c r="AD47" s="26">
        <f>VLOOKUP(ужин5,таб,13,FALSE)</f>
        <v>0</v>
      </c>
      <c r="AE47" s="27">
        <f>VLOOKUP(ужин6,таб,13,FALSE)</f>
        <v>0</v>
      </c>
      <c r="AF47" s="26">
        <f>VLOOKUP(ужин7,таб,13,FALSE)</f>
        <v>0</v>
      </c>
      <c r="AG47" s="81">
        <f>VLOOKUP(ужин8,таб,13,FALSE)</f>
        <v>0</v>
      </c>
      <c r="AH47" s="141">
        <v>612025</v>
      </c>
      <c r="AI47" s="139">
        <f>AK47/сред</f>
        <v>0.0164</v>
      </c>
      <c r="AJ47" s="140"/>
      <c r="AK47" s="143">
        <f>SUM(G48:AG48)</f>
        <v>0.328</v>
      </c>
      <c r="AL47" s="143"/>
      <c r="AM47" s="131">
        <f>IF(AK47=0,0,Таблиця!N267)</f>
        <v>68.478</v>
      </c>
      <c r="AN47" s="129">
        <f>AK47*AM47</f>
        <v>22.460784</v>
      </c>
      <c r="AQ47" s="55"/>
      <c r="AR47">
        <v>47</v>
      </c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</row>
    <row r="48" spans="1:129" ht="34.5" customHeight="1">
      <c r="A48" s="163"/>
      <c r="B48" s="163"/>
      <c r="C48" s="163"/>
      <c r="D48" s="163"/>
      <c r="E48" s="164"/>
      <c r="F48" s="59" t="s">
        <v>96</v>
      </c>
      <c r="G48" s="72">
        <f aca="true" t="shared" si="35" ref="G48:N48">IF(G47=0,"",завтракл*G47/1000)</f>
        <v>0.068</v>
      </c>
      <c r="H48" s="45">
        <f t="shared" si="35"/>
      </c>
      <c r="I48" s="44"/>
      <c r="J48" s="45">
        <f t="shared" si="35"/>
      </c>
      <c r="K48" s="44">
        <f t="shared" si="35"/>
      </c>
      <c r="L48" s="117">
        <f t="shared" si="35"/>
      </c>
      <c r="M48" s="72">
        <f t="shared" si="35"/>
      </c>
      <c r="N48" s="82">
        <f t="shared" si="35"/>
      </c>
      <c r="O48" s="46">
        <f aca="true" t="shared" si="36" ref="O48:T48">IF(O47=0,"",обідл*O47/1000)</f>
        <v>0.06</v>
      </c>
      <c r="P48" s="44">
        <f t="shared" si="36"/>
        <v>0.04</v>
      </c>
      <c r="Q48" s="45">
        <f t="shared" si="36"/>
        <v>0.04</v>
      </c>
      <c r="R48" s="44">
        <f t="shared" si="36"/>
      </c>
      <c r="S48" s="45">
        <f t="shared" si="36"/>
      </c>
      <c r="T48" s="44">
        <f t="shared" si="36"/>
      </c>
      <c r="U48" s="45">
        <f>IF(U47=0,"",обідл*U47/1000)</f>
      </c>
      <c r="V48" s="82">
        <f>IF(V47=0,"",обідл*V47/1000)</f>
      </c>
      <c r="W48" s="46">
        <f>IF(W47=0,"",полдникл*W47/1000)</f>
      </c>
      <c r="X48" s="44"/>
      <c r="Y48" s="82">
        <f>IF(Y47=0,"",полдникл*Y47/1000)</f>
      </c>
      <c r="Z48" s="46">
        <f aca="true" t="shared" si="37" ref="Z48:AG48">IF(Z47=0,"",ужинл*Z47/1000)</f>
        <v>0.06</v>
      </c>
      <c r="AA48" s="45">
        <f t="shared" si="37"/>
        <v>0.06</v>
      </c>
      <c r="AB48" s="44">
        <f t="shared" si="37"/>
      </c>
      <c r="AC48" s="45">
        <f t="shared" si="37"/>
      </c>
      <c r="AD48" s="44">
        <f t="shared" si="37"/>
      </c>
      <c r="AE48" s="45">
        <f t="shared" si="37"/>
      </c>
      <c r="AF48" s="44">
        <f t="shared" si="37"/>
      </c>
      <c r="AG48" s="82">
        <f t="shared" si="37"/>
      </c>
      <c r="AH48" s="142"/>
      <c r="AI48" s="139"/>
      <c r="AJ48" s="140"/>
      <c r="AK48" s="143"/>
      <c r="AL48" s="143"/>
      <c r="AM48" s="132"/>
      <c r="AN48" s="130"/>
      <c r="AQ48" s="55"/>
      <c r="AR48">
        <v>48</v>
      </c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</row>
    <row r="49" spans="1:129" ht="34.5" customHeight="1">
      <c r="A49" s="163" t="s">
        <v>14</v>
      </c>
      <c r="B49" s="163"/>
      <c r="C49" s="163"/>
      <c r="D49" s="163"/>
      <c r="E49" s="164"/>
      <c r="F49" s="64" t="s">
        <v>95</v>
      </c>
      <c r="G49" s="73">
        <f>VLOOKUP(завтрак1,таб,14,FALSE)</f>
        <v>11.3</v>
      </c>
      <c r="H49" s="30">
        <f>VLOOKUP(завтрак2,таб,14,FALSE)</f>
        <v>0</v>
      </c>
      <c r="I49" s="29"/>
      <c r="J49" s="30">
        <f>VLOOKUP(завтрак4,таб,14,FALSE)</f>
        <v>0</v>
      </c>
      <c r="K49" s="29">
        <f>VLOOKUP(завтрак5,таб,14,FALSE)</f>
        <v>0</v>
      </c>
      <c r="L49" s="119">
        <f>VLOOKUP(завтрак6,таб,14,FALSE)</f>
        <v>0</v>
      </c>
      <c r="M49" s="71">
        <f>VLOOKUP(завтрак7,таб,14,FALSE)</f>
        <v>0</v>
      </c>
      <c r="N49" s="81">
        <f>VLOOKUP(завтрак8,таб,14,FALSE)</f>
        <v>0</v>
      </c>
      <c r="O49" s="31">
        <f>VLOOKUP(обед1,таб,14,FALSE)</f>
        <v>0</v>
      </c>
      <c r="P49" s="29">
        <f>VLOOKUP(обед2,таб,14,FALSE)</f>
        <v>0</v>
      </c>
      <c r="Q49" s="30">
        <f>VLOOKUP(обед3,таб,14,FALSE)</f>
        <v>0</v>
      </c>
      <c r="R49" s="29">
        <f>VLOOKUP(обед4,таб,14,FALSE)</f>
        <v>0</v>
      </c>
      <c r="S49" s="30">
        <f>VLOOKUP(обед5,таб,14,FALSE)</f>
        <v>0</v>
      </c>
      <c r="T49" s="29">
        <f>VLOOKUP(обед6,таб,14,FALSE)</f>
        <v>0</v>
      </c>
      <c r="U49" s="30">
        <f>VLOOKUP(обед7,таб,14,FALSE)</f>
        <v>0</v>
      </c>
      <c r="V49" s="86">
        <f>VLOOKUP(обед8,таб,14,FALSE)</f>
        <v>0</v>
      </c>
      <c r="W49" s="31">
        <f>VLOOKUP(полдник1,таб,14,FALSE)</f>
        <v>0</v>
      </c>
      <c r="X49" s="29"/>
      <c r="Y49" s="86">
        <f>VLOOKUP(полдник3,таб,14,FALSE)</f>
        <v>0</v>
      </c>
      <c r="Z49" s="31">
        <f>VLOOKUP(ужин1,таб,14,FALSE)</f>
        <v>0</v>
      </c>
      <c r="AA49" s="30">
        <f>VLOOKUP(ужин2,таб,14,FALSE)</f>
        <v>0</v>
      </c>
      <c r="AB49" s="29">
        <f>VLOOKUP(ужин3,таб,14,FALSE)</f>
        <v>0</v>
      </c>
      <c r="AC49" s="30">
        <f>VLOOKUP(ужин4,таб,14,FALSE)</f>
        <v>0</v>
      </c>
      <c r="AD49" s="29">
        <f>VLOOKUP(ужин5,таб,14,FALSE)</f>
        <v>0</v>
      </c>
      <c r="AE49" s="30">
        <f>VLOOKUP(ужин6,таб,14,FALSE)</f>
        <v>0</v>
      </c>
      <c r="AF49" s="29">
        <f>VLOOKUP(ужин7,таб,14,FALSE)</f>
        <v>0</v>
      </c>
      <c r="AG49" s="86">
        <f>VLOOKUP(ужин8,таб,14,FALSE)</f>
        <v>0</v>
      </c>
      <c r="AH49" s="141">
        <v>612036</v>
      </c>
      <c r="AI49" s="139">
        <f>AK49/сред</f>
        <v>0.011300000000000001</v>
      </c>
      <c r="AJ49" s="140"/>
      <c r="AK49" s="143">
        <f>SUM(G50:AG50)</f>
        <v>0.226</v>
      </c>
      <c r="AL49" s="143"/>
      <c r="AM49" s="131">
        <f>IF(AK49=0,0,Таблиця!O267)</f>
        <v>20.68</v>
      </c>
      <c r="AN49" s="129">
        <f>AK49*AM49</f>
        <v>4.67368</v>
      </c>
      <c r="AQ49" s="55"/>
      <c r="AR49">
        <v>49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</row>
    <row r="50" spans="1:129" ht="34.5" customHeight="1">
      <c r="A50" s="158"/>
      <c r="B50" s="158"/>
      <c r="C50" s="158"/>
      <c r="D50" s="158"/>
      <c r="E50" s="159"/>
      <c r="F50" s="59" t="s">
        <v>96</v>
      </c>
      <c r="G50" s="74">
        <f aca="true" t="shared" si="38" ref="G50:N50">IF(G49=0,"",завтракл*G49/1000)</f>
        <v>0.226</v>
      </c>
      <c r="H50" s="47">
        <f t="shared" si="38"/>
      </c>
      <c r="I50" s="43"/>
      <c r="J50" s="47">
        <f t="shared" si="38"/>
      </c>
      <c r="K50" s="43">
        <f t="shared" si="38"/>
      </c>
      <c r="L50" s="118">
        <f t="shared" si="38"/>
      </c>
      <c r="M50" s="72">
        <f t="shared" si="38"/>
      </c>
      <c r="N50" s="82">
        <f t="shared" si="38"/>
      </c>
      <c r="O50" s="48">
        <f aca="true" t="shared" si="39" ref="O50:T50">IF(O49=0,"",обідл*O49/1000)</f>
      </c>
      <c r="P50" s="43">
        <f t="shared" si="39"/>
      </c>
      <c r="Q50" s="47">
        <f t="shared" si="39"/>
      </c>
      <c r="R50" s="43">
        <f t="shared" si="39"/>
      </c>
      <c r="S50" s="47">
        <f t="shared" si="39"/>
      </c>
      <c r="T50" s="43">
        <f t="shared" si="39"/>
      </c>
      <c r="U50" s="47">
        <f>IF(U49=0,"",обідл*U49/1000)</f>
      </c>
      <c r="V50" s="85">
        <f>IF(V49=0,"",обідл*V49/1000)</f>
      </c>
      <c r="W50" s="48">
        <f>IF(W49=0,"",полдникл*W49/1000)</f>
      </c>
      <c r="X50" s="43"/>
      <c r="Y50" s="85">
        <f>IF(Y49=0,"",полдникл*Y49/1000)</f>
      </c>
      <c r="Z50" s="48">
        <f aca="true" t="shared" si="40" ref="Z50:AG50">IF(Z49=0,"",ужинл*Z49/1000)</f>
      </c>
      <c r="AA50" s="47">
        <f t="shared" si="40"/>
      </c>
      <c r="AB50" s="43">
        <f t="shared" si="40"/>
      </c>
      <c r="AC50" s="47">
        <f t="shared" si="40"/>
      </c>
      <c r="AD50" s="43">
        <f t="shared" si="40"/>
      </c>
      <c r="AE50" s="47">
        <f t="shared" si="40"/>
      </c>
      <c r="AF50" s="43">
        <f t="shared" si="40"/>
      </c>
      <c r="AG50" s="85">
        <f t="shared" si="40"/>
      </c>
      <c r="AH50" s="142"/>
      <c r="AI50" s="139"/>
      <c r="AJ50" s="140"/>
      <c r="AK50" s="143"/>
      <c r="AL50" s="143"/>
      <c r="AM50" s="132"/>
      <c r="AN50" s="130"/>
      <c r="AQ50" s="55"/>
      <c r="AR50">
        <v>50</v>
      </c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</row>
    <row r="51" spans="1:129" ht="34.5" customHeight="1">
      <c r="A51" s="163" t="s">
        <v>15</v>
      </c>
      <c r="B51" s="163"/>
      <c r="C51" s="163"/>
      <c r="D51" s="163"/>
      <c r="E51" s="164"/>
      <c r="F51" s="64" t="s">
        <v>95</v>
      </c>
      <c r="G51" s="71">
        <f>VLOOKUP(завтрак1,таб,15,FALSE)</f>
        <v>0</v>
      </c>
      <c r="H51" s="27">
        <f>VLOOKUP(завтрак2,таб,15,FALSE)</f>
        <v>0</v>
      </c>
      <c r="I51" s="26"/>
      <c r="J51" s="27">
        <f>VLOOKUP(завтрак4,таб,15,FALSE)</f>
        <v>0</v>
      </c>
      <c r="K51" s="26">
        <f>VLOOKUP(завтрак5,таб,15,FALSE)</f>
        <v>0</v>
      </c>
      <c r="L51" s="116">
        <f>VLOOKUP(завтрак6,таб,15,FALSE)</f>
        <v>0</v>
      </c>
      <c r="M51" s="71">
        <f>VLOOKUP(завтрак7,таб,15,FALSE)</f>
        <v>0</v>
      </c>
      <c r="N51" s="81">
        <f>VLOOKUP(завтрак8,таб,15,FALSE)</f>
        <v>0</v>
      </c>
      <c r="O51" s="28">
        <f>VLOOKUP(обед1,таб,15,FALSE)</f>
        <v>0</v>
      </c>
      <c r="P51" s="26">
        <f>VLOOKUP(обед2,таб,15,FALSE)</f>
        <v>0</v>
      </c>
      <c r="Q51" s="27">
        <f>VLOOKUP(обед3,таб,15,FALSE)</f>
        <v>0</v>
      </c>
      <c r="R51" s="26">
        <f>VLOOKUP(обед4,таб,15,FALSE)</f>
        <v>0</v>
      </c>
      <c r="S51" s="27">
        <f>VLOOKUP(обед5,таб,15,FALSE)</f>
        <v>0</v>
      </c>
      <c r="T51" s="26">
        <f>VLOOKUP(обед6,таб,15,FALSE)</f>
        <v>0</v>
      </c>
      <c r="U51" s="27">
        <f>VLOOKUP(обед7,таб,15,FALSE)</f>
        <v>0</v>
      </c>
      <c r="V51" s="81">
        <f>VLOOKUP(обед8,таб,15,FALSE)</f>
        <v>0</v>
      </c>
      <c r="W51" s="28">
        <f>VLOOKUP(полдник1,таб,15,FALSE)</f>
        <v>0</v>
      </c>
      <c r="X51" s="26"/>
      <c r="Y51" s="81">
        <f>VLOOKUP(полдник3,таб,15,FALSE)</f>
        <v>0</v>
      </c>
      <c r="Z51" s="28">
        <f>VLOOKUP(ужин1,таб,15,FALSE)</f>
        <v>0</v>
      </c>
      <c r="AA51" s="27">
        <f>VLOOKUP(ужин2,таб,15,FALSE)</f>
        <v>0</v>
      </c>
      <c r="AB51" s="26">
        <f>VLOOKUP(ужин3,таб,15,FALSE)</f>
        <v>0</v>
      </c>
      <c r="AC51" s="27">
        <f>VLOOKUP(ужин4,таб,15,FALSE)</f>
        <v>0</v>
      </c>
      <c r="AD51" s="26">
        <f>VLOOKUP(ужин5,таб,15,FALSE)</f>
        <v>0</v>
      </c>
      <c r="AE51" s="27">
        <f>VLOOKUP(ужин6,таб,15,FALSE)</f>
        <v>0</v>
      </c>
      <c r="AF51" s="26">
        <f>VLOOKUP(ужин7,таб,15,FALSE)</f>
        <v>0</v>
      </c>
      <c r="AG51" s="81">
        <f>VLOOKUP(ужин8,таб,15,FALSE)</f>
        <v>0</v>
      </c>
      <c r="AH51" s="141">
        <v>612034</v>
      </c>
      <c r="AI51" s="139">
        <f>AK51/сред</f>
        <v>0</v>
      </c>
      <c r="AJ51" s="140"/>
      <c r="AK51" s="143">
        <f>SUM(G52:AG52)</f>
        <v>0</v>
      </c>
      <c r="AL51" s="143"/>
      <c r="AM51" s="131">
        <f>IF(AK51=0,0,Таблиця!EE267)</f>
        <v>0</v>
      </c>
      <c r="AN51" s="129">
        <f>AK51*AM51</f>
        <v>0</v>
      </c>
      <c r="AQ51" s="54"/>
      <c r="AR51">
        <v>51</v>
      </c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</row>
    <row r="52" spans="1:129" ht="34.5" customHeight="1">
      <c r="A52" s="163"/>
      <c r="B52" s="163"/>
      <c r="C52" s="163"/>
      <c r="D52" s="163"/>
      <c r="E52" s="164"/>
      <c r="F52" s="59" t="s">
        <v>96</v>
      </c>
      <c r="G52" s="72">
        <f aca="true" t="shared" si="41" ref="G52:N52">IF(G51=0,"",завтракл*G51/1000)</f>
      </c>
      <c r="H52" s="45">
        <f t="shared" si="41"/>
      </c>
      <c r="I52" s="44"/>
      <c r="J52" s="45">
        <f t="shared" si="41"/>
      </c>
      <c r="K52" s="44">
        <f t="shared" si="41"/>
      </c>
      <c r="L52" s="117">
        <f t="shared" si="41"/>
      </c>
      <c r="M52" s="72">
        <f t="shared" si="41"/>
      </c>
      <c r="N52" s="82">
        <f t="shared" si="41"/>
      </c>
      <c r="O52" s="46">
        <f aca="true" t="shared" si="42" ref="O52:T52">IF(O51=0,"",обідл*O51/1000)</f>
      </c>
      <c r="P52" s="44">
        <f t="shared" si="42"/>
      </c>
      <c r="Q52" s="45">
        <f t="shared" si="42"/>
      </c>
      <c r="R52" s="44">
        <f t="shared" si="42"/>
      </c>
      <c r="S52" s="45">
        <f t="shared" si="42"/>
      </c>
      <c r="T52" s="44">
        <f t="shared" si="42"/>
      </c>
      <c r="U52" s="45">
        <f>IF(U51=0,"",обідл*U51/1000)</f>
      </c>
      <c r="V52" s="82">
        <f>IF(V51=0,"",обідл*V51/1000)</f>
      </c>
      <c r="W52" s="46">
        <f>IF(W51=0,"",полдникл*W51/1000)</f>
      </c>
      <c r="X52" s="44"/>
      <c r="Y52" s="82">
        <f>IF(Y51=0,"",полдникл*Y51/1000)</f>
      </c>
      <c r="Z52" s="46">
        <f aca="true" t="shared" si="43" ref="Z52:AG52">IF(Z51=0,"",ужинл*Z51/1000)</f>
      </c>
      <c r="AA52" s="45">
        <f t="shared" si="43"/>
      </c>
      <c r="AB52" s="44">
        <f t="shared" si="43"/>
      </c>
      <c r="AC52" s="45">
        <f t="shared" si="43"/>
      </c>
      <c r="AD52" s="44">
        <f t="shared" si="43"/>
      </c>
      <c r="AE52" s="45">
        <f t="shared" si="43"/>
      </c>
      <c r="AF52" s="44">
        <f t="shared" si="43"/>
      </c>
      <c r="AG52" s="82">
        <f t="shared" si="43"/>
      </c>
      <c r="AH52" s="142"/>
      <c r="AI52" s="139"/>
      <c r="AJ52" s="140"/>
      <c r="AK52" s="143"/>
      <c r="AL52" s="143"/>
      <c r="AM52" s="132"/>
      <c r="AN52" s="130"/>
      <c r="AQ52" s="55"/>
      <c r="AR52">
        <v>52</v>
      </c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</row>
    <row r="53" spans="1:129" ht="34.5" customHeight="1">
      <c r="A53" s="156" t="s">
        <v>16</v>
      </c>
      <c r="B53" s="156"/>
      <c r="C53" s="156"/>
      <c r="D53" s="156"/>
      <c r="E53" s="157"/>
      <c r="F53" s="64" t="s">
        <v>95</v>
      </c>
      <c r="G53" s="73">
        <f>VLOOKUP(завтрак1,таб,16,FALSE)</f>
        <v>0</v>
      </c>
      <c r="H53" s="30">
        <f>VLOOKUP(завтрак2,таб,16,FALSE)</f>
        <v>0</v>
      </c>
      <c r="I53" s="29"/>
      <c r="J53" s="30">
        <f>VLOOKUP(завтрак4,таб,16,FALSE)</f>
        <v>0</v>
      </c>
      <c r="K53" s="29">
        <f>VLOOKUP(завтрак5,таб,16,FALSE)</f>
        <v>0</v>
      </c>
      <c r="L53" s="119">
        <f>VLOOKUP(завтрак6,таб,16,FALSE)</f>
        <v>0</v>
      </c>
      <c r="M53" s="71">
        <f>VLOOKUP(завтрак7,таб,16,FALSE)</f>
        <v>0</v>
      </c>
      <c r="N53" s="81">
        <f>VLOOKUP(завтрак8,таб,16,FALSE)</f>
        <v>0</v>
      </c>
      <c r="O53" s="31">
        <f>VLOOKUP(обед1,таб,16,FALSE)</f>
        <v>0</v>
      </c>
      <c r="P53" s="29">
        <f>VLOOKUP(обед2,таб,16,FALSE)</f>
        <v>0</v>
      </c>
      <c r="Q53" s="30">
        <f>VLOOKUP(обед3,таб,16,FALSE)</f>
        <v>0</v>
      </c>
      <c r="R53" s="29">
        <f>VLOOKUP(обед4,таб,16,FALSE)</f>
        <v>0</v>
      </c>
      <c r="S53" s="30">
        <f>VLOOKUP(обед5,таб,16,FALSE)</f>
        <v>0</v>
      </c>
      <c r="T53" s="29">
        <f>VLOOKUP(обед6,таб,16,FALSE)</f>
        <v>0</v>
      </c>
      <c r="U53" s="30">
        <f>VLOOKUP(обед7,таб,16,FALSE)</f>
        <v>0</v>
      </c>
      <c r="V53" s="86">
        <f>VLOOKUP(обед8,таб,16,FALSE)</f>
        <v>0</v>
      </c>
      <c r="W53" s="31">
        <f>VLOOKUP(полдник1,таб,16,FALSE)</f>
        <v>0</v>
      </c>
      <c r="X53" s="29"/>
      <c r="Y53" s="86">
        <f>VLOOKUP(полдник3,таб,16,FALSE)</f>
        <v>0</v>
      </c>
      <c r="Z53" s="31">
        <f>VLOOKUP(ужин1,таб,16,FALSE)</f>
        <v>0</v>
      </c>
      <c r="AA53" s="30">
        <f>VLOOKUP(ужин2,таб,16,FALSE)</f>
        <v>0</v>
      </c>
      <c r="AB53" s="29">
        <f>VLOOKUP(ужин3,таб,16,FALSE)</f>
        <v>0</v>
      </c>
      <c r="AC53" s="30">
        <f>VLOOKUP(ужин4,таб,16,FALSE)</f>
        <v>0</v>
      </c>
      <c r="AD53" s="29">
        <f>VLOOKUP(ужин5,таб,16,FALSE)</f>
        <v>0</v>
      </c>
      <c r="AE53" s="30">
        <f>VLOOKUP(ужин6,таб,16,FALSE)</f>
        <v>0</v>
      </c>
      <c r="AF53" s="29">
        <f>VLOOKUP(ужин7,таб,16,FALSE)</f>
        <v>0</v>
      </c>
      <c r="AG53" s="86">
        <f>VLOOKUP(ужин8,таб,16,FALSE)</f>
        <v>0</v>
      </c>
      <c r="AH53" s="141">
        <v>612053</v>
      </c>
      <c r="AI53" s="139">
        <f>AK53/сред</f>
        <v>0</v>
      </c>
      <c r="AJ53" s="140"/>
      <c r="AK53" s="143">
        <f>SUM(G54:AG54)</f>
        <v>0</v>
      </c>
      <c r="AL53" s="143"/>
      <c r="AM53" s="131">
        <f>IF(AK53=0,0,Таблиця!Q267)</f>
        <v>0</v>
      </c>
      <c r="AN53" s="129">
        <f>AK53*AM53</f>
        <v>0</v>
      </c>
      <c r="AQ53" s="55"/>
      <c r="AR53">
        <v>53</v>
      </c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</row>
    <row r="54" spans="1:129" ht="34.5" customHeight="1">
      <c r="A54" s="158"/>
      <c r="B54" s="158"/>
      <c r="C54" s="158"/>
      <c r="D54" s="158"/>
      <c r="E54" s="159"/>
      <c r="F54" s="59" t="s">
        <v>96</v>
      </c>
      <c r="G54" s="74">
        <f aca="true" t="shared" si="44" ref="G54:N54">IF(G53=0,"",завтракл*G53/1000)</f>
      </c>
      <c r="H54" s="47">
        <f t="shared" si="44"/>
      </c>
      <c r="I54" s="43"/>
      <c r="J54" s="47">
        <f t="shared" si="44"/>
      </c>
      <c r="K54" s="43">
        <f t="shared" si="44"/>
      </c>
      <c r="L54" s="118">
        <f t="shared" si="44"/>
      </c>
      <c r="M54" s="72">
        <f t="shared" si="44"/>
      </c>
      <c r="N54" s="82">
        <f t="shared" si="44"/>
      </c>
      <c r="O54" s="48">
        <f aca="true" t="shared" si="45" ref="O54:T54">IF(O53=0,"",обідл*O53/1000)</f>
      </c>
      <c r="P54" s="43">
        <f t="shared" si="45"/>
      </c>
      <c r="Q54" s="47">
        <f t="shared" si="45"/>
      </c>
      <c r="R54" s="43">
        <f t="shared" si="45"/>
      </c>
      <c r="S54" s="47">
        <f t="shared" si="45"/>
      </c>
      <c r="T54" s="43">
        <f t="shared" si="45"/>
      </c>
      <c r="U54" s="47">
        <f>IF(U53=0,"",обідл*U53/1000)</f>
      </c>
      <c r="V54" s="85">
        <f>IF(V53=0,"",обідл*V53/1000)</f>
      </c>
      <c r="W54" s="48">
        <f>IF(W53=0,"",полдникл*W53/1000)</f>
      </c>
      <c r="X54" s="43"/>
      <c r="Y54" s="85">
        <f>IF(Y53=0,"",полдникл*Y53/1000)</f>
      </c>
      <c r="Z54" s="48">
        <f aca="true" t="shared" si="46" ref="Z54:AG54">IF(Z53=0,"",ужинл*Z53/1000)</f>
      </c>
      <c r="AA54" s="47">
        <f t="shared" si="46"/>
      </c>
      <c r="AB54" s="43">
        <f t="shared" si="46"/>
      </c>
      <c r="AC54" s="47">
        <f t="shared" si="46"/>
      </c>
      <c r="AD54" s="43">
        <f t="shared" si="46"/>
      </c>
      <c r="AE54" s="47">
        <f t="shared" si="46"/>
      </c>
      <c r="AF54" s="43">
        <f t="shared" si="46"/>
      </c>
      <c r="AG54" s="85">
        <f t="shared" si="46"/>
      </c>
      <c r="AH54" s="142"/>
      <c r="AI54" s="139"/>
      <c r="AJ54" s="140"/>
      <c r="AK54" s="143"/>
      <c r="AL54" s="143"/>
      <c r="AM54" s="132"/>
      <c r="AN54" s="130"/>
      <c r="AQ54" s="55"/>
      <c r="AR54">
        <v>54</v>
      </c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</row>
    <row r="55" spans="1:129" ht="34.5" customHeight="1">
      <c r="A55" s="163" t="s">
        <v>17</v>
      </c>
      <c r="B55" s="163"/>
      <c r="C55" s="163"/>
      <c r="D55" s="163"/>
      <c r="E55" s="164"/>
      <c r="F55" s="64" t="s">
        <v>95</v>
      </c>
      <c r="G55" s="71">
        <f>VLOOKUP(завтрак1,таб,17,FALSE)</f>
        <v>0</v>
      </c>
      <c r="H55" s="32">
        <f>VLOOKUP(завтрак2,таб,17,FALSE)</f>
        <v>0</v>
      </c>
      <c r="I55" s="33"/>
      <c r="J55" s="32">
        <f>VLOOKUP(завтрак4,таб,17,FALSE)</f>
        <v>0</v>
      </c>
      <c r="K55" s="33">
        <f>VLOOKUP(завтрак5,таб,17,FALSE)</f>
        <v>0</v>
      </c>
      <c r="L55" s="120">
        <f>VLOOKUP(завтрак6,таб,17,FALSE)</f>
        <v>0</v>
      </c>
      <c r="M55" s="71">
        <f>VLOOKUP(завтрак7,таб,17,FALSE)</f>
        <v>0</v>
      </c>
      <c r="N55" s="81">
        <f>VLOOKUP(завтрак8,таб,17,FALSE)</f>
        <v>0</v>
      </c>
      <c r="O55" s="34">
        <f>VLOOKUP(обед1,таб,17,FALSE)</f>
        <v>0</v>
      </c>
      <c r="P55" s="33">
        <f>VLOOKUP(обед2,таб,17,FALSE)</f>
        <v>0</v>
      </c>
      <c r="Q55" s="32">
        <f>VLOOKUP(обед3,таб,17,FALSE)</f>
        <v>0</v>
      </c>
      <c r="R55" s="33">
        <f>VLOOKUP(обед4,таб,17,FALSE)</f>
        <v>0</v>
      </c>
      <c r="S55" s="32">
        <f>VLOOKUP(обед5,таб,17,FALSE)</f>
        <v>0</v>
      </c>
      <c r="T55" s="33">
        <f>VLOOKUP(обед6,таб,17,FALSE)</f>
        <v>0</v>
      </c>
      <c r="U55" s="32">
        <f>VLOOKUP(обед7,таб,17,FALSE)</f>
        <v>0</v>
      </c>
      <c r="V55" s="87">
        <f>VLOOKUP(обед8,таб,17,FALSE)</f>
        <v>0</v>
      </c>
      <c r="W55" s="34">
        <f>VLOOKUP(полдник1,таб,17,FALSE)</f>
        <v>7.5</v>
      </c>
      <c r="X55" s="33"/>
      <c r="Y55" s="87">
        <f>VLOOKUP(полдник3,таб,17,FALSE)</f>
        <v>0</v>
      </c>
      <c r="Z55" s="34">
        <f>VLOOKUP(ужин1,таб,17,FALSE)</f>
        <v>0</v>
      </c>
      <c r="AA55" s="32">
        <f>VLOOKUP(ужин2,таб,17,FALSE)</f>
        <v>0</v>
      </c>
      <c r="AB55" s="33">
        <f>VLOOKUP(ужин3,таб,17,FALSE)</f>
        <v>0</v>
      </c>
      <c r="AC55" s="32">
        <f>VLOOKUP(ужин4,таб,17,FALSE)</f>
        <v>0</v>
      </c>
      <c r="AD55" s="33">
        <f>VLOOKUP(ужин5,таб,17,FALSE)</f>
        <v>0</v>
      </c>
      <c r="AE55" s="32">
        <f>VLOOKUP(ужин6,таб,17,FALSE)</f>
        <v>0</v>
      </c>
      <c r="AF55" s="33">
        <f>VLOOKUP(ужин7,таб,17,FALSE)</f>
        <v>0</v>
      </c>
      <c r="AG55" s="87">
        <f>VLOOKUP(ужин8,таб,17,FALSE)</f>
        <v>0</v>
      </c>
      <c r="AH55" s="141">
        <v>612060</v>
      </c>
      <c r="AI55" s="139">
        <f>AK55/сред</f>
        <v>0.0075</v>
      </c>
      <c r="AJ55" s="140"/>
      <c r="AK55" s="143">
        <f>SUM(G56:AG56)</f>
        <v>0.15</v>
      </c>
      <c r="AL55" s="143"/>
      <c r="AM55" s="131">
        <f>IF(AK55=0,0,Таблиця!R267)</f>
        <v>60.75</v>
      </c>
      <c r="AN55" s="129">
        <f>AK55*AM55</f>
        <v>9.112499999999999</v>
      </c>
      <c r="AQ55" s="55"/>
      <c r="AR55">
        <v>55</v>
      </c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</row>
    <row r="56" spans="1:129" ht="34.5" customHeight="1">
      <c r="A56" s="163"/>
      <c r="B56" s="163"/>
      <c r="C56" s="163"/>
      <c r="D56" s="163"/>
      <c r="E56" s="164"/>
      <c r="F56" s="59" t="s">
        <v>96</v>
      </c>
      <c r="G56" s="72">
        <f aca="true" t="shared" si="47" ref="G56:N56">IF(G55=0,"",завтракл*G55/1000)</f>
      </c>
      <c r="H56" s="45">
        <f t="shared" si="47"/>
      </c>
      <c r="I56" s="44"/>
      <c r="J56" s="45">
        <f t="shared" si="47"/>
      </c>
      <c r="K56" s="44">
        <f t="shared" si="47"/>
      </c>
      <c r="L56" s="117">
        <f t="shared" si="47"/>
      </c>
      <c r="M56" s="72">
        <f t="shared" si="47"/>
      </c>
      <c r="N56" s="82">
        <f t="shared" si="47"/>
      </c>
      <c r="O56" s="46">
        <f aca="true" t="shared" si="48" ref="O56:T56">IF(O55=0,"",обідл*O55/1000)</f>
      </c>
      <c r="P56" s="44">
        <f t="shared" si="48"/>
      </c>
      <c r="Q56" s="45">
        <f t="shared" si="48"/>
      </c>
      <c r="R56" s="44">
        <f t="shared" si="48"/>
      </c>
      <c r="S56" s="45">
        <f t="shared" si="48"/>
      </c>
      <c r="T56" s="44">
        <f t="shared" si="48"/>
      </c>
      <c r="U56" s="45">
        <f>IF(U55=0,"",обідл*U55/1000)</f>
      </c>
      <c r="V56" s="82">
        <f>IF(V55=0,"",обідл*V55/1000)</f>
      </c>
      <c r="W56" s="46">
        <f>IF(W55=0,"",полдникл*W55/1000)</f>
        <v>0.15</v>
      </c>
      <c r="X56" s="44"/>
      <c r="Y56" s="82">
        <f>IF(Y55=0,"",полдникл*Y55/1000)</f>
      </c>
      <c r="Z56" s="46">
        <f aca="true" t="shared" si="49" ref="Z56:AG56">IF(Z55=0,"",ужинл*Z55/1000)</f>
      </c>
      <c r="AA56" s="45">
        <f t="shared" si="49"/>
      </c>
      <c r="AB56" s="44">
        <f t="shared" si="49"/>
      </c>
      <c r="AC56" s="45">
        <f t="shared" si="49"/>
      </c>
      <c r="AD56" s="44">
        <f t="shared" si="49"/>
      </c>
      <c r="AE56" s="45">
        <f t="shared" si="49"/>
      </c>
      <c r="AF56" s="44">
        <f t="shared" si="49"/>
      </c>
      <c r="AG56" s="82">
        <f t="shared" si="49"/>
      </c>
      <c r="AH56" s="142"/>
      <c r="AI56" s="139"/>
      <c r="AJ56" s="140"/>
      <c r="AK56" s="143"/>
      <c r="AL56" s="143"/>
      <c r="AM56" s="132"/>
      <c r="AN56" s="130"/>
      <c r="AQ56" s="54"/>
      <c r="AR56">
        <v>56</v>
      </c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</row>
    <row r="57" spans="1:129" ht="34.5" customHeight="1">
      <c r="A57" s="156" t="s">
        <v>18</v>
      </c>
      <c r="B57" s="156"/>
      <c r="C57" s="156"/>
      <c r="D57" s="156"/>
      <c r="E57" s="157"/>
      <c r="F57" s="64" t="s">
        <v>95</v>
      </c>
      <c r="G57" s="73">
        <f>VLOOKUP(завтрак1,таб,18,FALSE)</f>
        <v>0</v>
      </c>
      <c r="H57" s="35">
        <f>VLOOKUP(завтрак2,таб,18,FALSE)</f>
        <v>0</v>
      </c>
      <c r="I57" s="36"/>
      <c r="J57" s="35">
        <f>VLOOKUP(завтрак4,таб,18,FALSE)</f>
        <v>0</v>
      </c>
      <c r="K57" s="36">
        <f>VLOOKUP(завтрак5,таб,18,FALSE)</f>
        <v>0</v>
      </c>
      <c r="L57" s="121">
        <f>VLOOKUP(завтрак6,таб,18,FALSE)</f>
        <v>0</v>
      </c>
      <c r="M57" s="71">
        <f>VLOOKUP(завтрак7,таб,18,FALSE)</f>
        <v>0</v>
      </c>
      <c r="N57" s="81">
        <f>VLOOKUP(завтрак8,таб,18,FALSE)</f>
        <v>0</v>
      </c>
      <c r="O57" s="37">
        <f>VLOOKUP(обед1,таб,18,FALSE)</f>
        <v>0</v>
      </c>
      <c r="P57" s="36">
        <f>VLOOKUP(обед2,таб,18,FALSE)</f>
        <v>0</v>
      </c>
      <c r="Q57" s="35">
        <f>VLOOKUP(обед3,таб,18,FALSE)</f>
        <v>0</v>
      </c>
      <c r="R57" s="36">
        <f>VLOOKUP(обед4,таб,18,FALSE)</f>
        <v>0</v>
      </c>
      <c r="S57" s="35">
        <f>VLOOKUP(обед5,таб,18,FALSE)</f>
        <v>0</v>
      </c>
      <c r="T57" s="36">
        <f>VLOOKUP(обед6,таб,18,FALSE)</f>
        <v>0</v>
      </c>
      <c r="U57" s="35">
        <f>VLOOKUP(обед7,таб,18,FALSE)</f>
        <v>0</v>
      </c>
      <c r="V57" s="88">
        <f>VLOOKUP(обед8,таб,18,FALSE)</f>
        <v>0</v>
      </c>
      <c r="W57" s="37">
        <f>VLOOKUP(полдник1,таб,18,FALSE)</f>
        <v>0</v>
      </c>
      <c r="X57" s="36"/>
      <c r="Y57" s="88">
        <f>VLOOKUP(полдник3,таб,18,FALSE)</f>
        <v>0</v>
      </c>
      <c r="Z57" s="37">
        <f>VLOOKUP(ужин1,таб,18,FALSE)</f>
        <v>0</v>
      </c>
      <c r="AA57" s="35">
        <f>VLOOKUP(ужин2,таб,18,FALSE)</f>
        <v>0</v>
      </c>
      <c r="AB57" s="36">
        <f>VLOOKUP(ужин3,таб,18,FALSE)</f>
        <v>0</v>
      </c>
      <c r="AC57" s="35">
        <f>VLOOKUP(ужин4,таб,18,FALSE)</f>
        <v>0</v>
      </c>
      <c r="AD57" s="36">
        <f>VLOOKUP(ужин5,таб,18,FALSE)</f>
        <v>0</v>
      </c>
      <c r="AE57" s="35">
        <f>VLOOKUP(ужин6,таб,18,FALSE)</f>
        <v>0</v>
      </c>
      <c r="AF57" s="36">
        <f>VLOOKUP(ужин7,таб,18,FALSE)</f>
        <v>0</v>
      </c>
      <c r="AG57" s="88">
        <f>VLOOKUP(ужин8,таб,18,FALSE)</f>
        <v>0</v>
      </c>
      <c r="AH57" s="141">
        <v>612087</v>
      </c>
      <c r="AI57" s="139">
        <f>AK57/сред</f>
        <v>0</v>
      </c>
      <c r="AJ57" s="140"/>
      <c r="AK57" s="143">
        <f>SUM(G58:AG58)</f>
        <v>0</v>
      </c>
      <c r="AL57" s="143"/>
      <c r="AM57" s="131">
        <f>IF(AK57=0,0,Таблиця!S267)</f>
        <v>0</v>
      </c>
      <c r="AN57" s="129">
        <f>AK57*AM57</f>
        <v>0</v>
      </c>
      <c r="AQ57" s="54"/>
      <c r="AR57">
        <v>57</v>
      </c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</row>
    <row r="58" spans="1:129" ht="34.5" customHeight="1">
      <c r="A58" s="158"/>
      <c r="B58" s="158"/>
      <c r="C58" s="158"/>
      <c r="D58" s="158"/>
      <c r="E58" s="159"/>
      <c r="F58" s="59" t="s">
        <v>96</v>
      </c>
      <c r="G58" s="74">
        <f aca="true" t="shared" si="50" ref="G58:N58">IF(G57=0,"",завтракл*G57/1000)</f>
      </c>
      <c r="H58" s="47">
        <f t="shared" si="50"/>
      </c>
      <c r="I58" s="43"/>
      <c r="J58" s="47">
        <f t="shared" si="50"/>
      </c>
      <c r="K58" s="43">
        <f t="shared" si="50"/>
      </c>
      <c r="L58" s="118">
        <f t="shared" si="50"/>
      </c>
      <c r="M58" s="72">
        <f t="shared" si="50"/>
      </c>
      <c r="N58" s="82">
        <f t="shared" si="50"/>
      </c>
      <c r="O58" s="48">
        <f aca="true" t="shared" si="51" ref="O58:T58">IF(O57=0,"",обідл*O57/1000)</f>
      </c>
      <c r="P58" s="43">
        <f t="shared" si="51"/>
      </c>
      <c r="Q58" s="47">
        <f t="shared" si="51"/>
      </c>
      <c r="R58" s="43">
        <f t="shared" si="51"/>
      </c>
      <c r="S58" s="47">
        <f t="shared" si="51"/>
      </c>
      <c r="T58" s="43">
        <f t="shared" si="51"/>
      </c>
      <c r="U58" s="47">
        <f>IF(U57=0,"",обідл*U57/1000)</f>
      </c>
      <c r="V58" s="85">
        <f>IF(V57=0,"",обідл*V57/1000)</f>
      </c>
      <c r="W58" s="48">
        <f>IF(W57=0,"",полдникл*W57/1000)</f>
      </c>
      <c r="X58" s="43"/>
      <c r="Y58" s="85">
        <f>IF(Y57=0,"",полдникл*Y57/1000)</f>
      </c>
      <c r="Z58" s="48">
        <f aca="true" t="shared" si="52" ref="Z58:AG58">IF(Z57=0,"",ужинл*Z57/1000)</f>
      </c>
      <c r="AA58" s="47">
        <f t="shared" si="52"/>
      </c>
      <c r="AB58" s="43">
        <f t="shared" si="52"/>
      </c>
      <c r="AC58" s="47">
        <f t="shared" si="52"/>
      </c>
      <c r="AD58" s="43">
        <f t="shared" si="52"/>
      </c>
      <c r="AE58" s="47">
        <f t="shared" si="52"/>
      </c>
      <c r="AF58" s="43">
        <f t="shared" si="52"/>
      </c>
      <c r="AG58" s="85">
        <f t="shared" si="52"/>
      </c>
      <c r="AH58" s="142"/>
      <c r="AI58" s="139"/>
      <c r="AJ58" s="140"/>
      <c r="AK58" s="143"/>
      <c r="AL58" s="143"/>
      <c r="AM58" s="132"/>
      <c r="AN58" s="130"/>
      <c r="AQ58" s="55"/>
      <c r="AR58">
        <v>58</v>
      </c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</row>
    <row r="59" spans="1:129" ht="34.5" customHeight="1">
      <c r="A59" s="163" t="s">
        <v>19</v>
      </c>
      <c r="B59" s="163"/>
      <c r="C59" s="163"/>
      <c r="D59" s="163"/>
      <c r="E59" s="164"/>
      <c r="F59" s="64" t="s">
        <v>95</v>
      </c>
      <c r="G59" s="71">
        <f>VLOOKUP(завтрак1,таб,19,FALSE)</f>
        <v>0</v>
      </c>
      <c r="H59" s="32">
        <f>VLOOKUP(завтрак2,таб,19,FALSE)</f>
        <v>0</v>
      </c>
      <c r="I59" s="33"/>
      <c r="J59" s="32">
        <f>VLOOKUP(завтрак4,таб,19,FALSE)</f>
        <v>0</v>
      </c>
      <c r="K59" s="33">
        <f>VLOOKUP(завтрак5,таб,19,FALSE)</f>
        <v>0</v>
      </c>
      <c r="L59" s="120">
        <f>VLOOKUP(завтрак6,таб,19,FALSE)</f>
        <v>0</v>
      </c>
      <c r="M59" s="71">
        <f>VLOOKUP(завтрак7,таб,19,FALSE)</f>
        <v>0</v>
      </c>
      <c r="N59" s="81">
        <f>VLOOKUP(завтрак8,таб,19,FALSE)</f>
        <v>0</v>
      </c>
      <c r="O59" s="34">
        <f>VLOOKUP(обед1,таб,19,FALSE)</f>
        <v>0</v>
      </c>
      <c r="P59" s="33">
        <f>VLOOKUP(обед2,таб,19,FALSE)</f>
        <v>0</v>
      </c>
      <c r="Q59" s="32">
        <f>VLOOKUP(обед3,таб,19,FALSE)</f>
        <v>0</v>
      </c>
      <c r="R59" s="33">
        <f>VLOOKUP(обед4,таб,19,FALSE)</f>
        <v>0</v>
      </c>
      <c r="S59" s="32">
        <f>VLOOKUP(обед5,таб,19,FALSE)</f>
        <v>0</v>
      </c>
      <c r="T59" s="33">
        <f>VLOOKUP(обед6,таб,19,FALSE)</f>
        <v>0</v>
      </c>
      <c r="U59" s="32">
        <f>VLOOKUP(обед7,таб,19,FALSE)</f>
        <v>0</v>
      </c>
      <c r="V59" s="87">
        <f>VLOOKUP(обед8,таб,19,FALSE)</f>
        <v>0</v>
      </c>
      <c r="W59" s="34">
        <f>VLOOKUP(полдник1,таб,19,FALSE)</f>
        <v>0</v>
      </c>
      <c r="X59" s="33"/>
      <c r="Y59" s="87">
        <f>VLOOKUP(полдник3,таб,19,FALSE)</f>
        <v>0</v>
      </c>
      <c r="Z59" s="34">
        <f>VLOOKUP(ужин1,таб,19,FALSE)</f>
        <v>0</v>
      </c>
      <c r="AA59" s="32">
        <f>VLOOKUP(ужин2,таб,19,FALSE)</f>
        <v>0</v>
      </c>
      <c r="AB59" s="33">
        <f>VLOOKUP(ужин3,таб,19,FALSE)</f>
        <v>0</v>
      </c>
      <c r="AC59" s="32">
        <f>VLOOKUP(ужин4,таб,19,FALSE)</f>
        <v>0</v>
      </c>
      <c r="AD59" s="33">
        <f>VLOOKUP(ужин5,таб,19,FALSE)</f>
        <v>0</v>
      </c>
      <c r="AE59" s="32">
        <f>VLOOKUP(ужин6,таб,19,FALSE)</f>
        <v>0</v>
      </c>
      <c r="AF59" s="33">
        <f>VLOOKUP(ужин7,таб,19,FALSE)</f>
        <v>0</v>
      </c>
      <c r="AG59" s="87">
        <f>VLOOKUP(ужин8,таб,19,FALSE)</f>
        <v>0</v>
      </c>
      <c r="AH59" s="141">
        <v>612075</v>
      </c>
      <c r="AI59" s="139">
        <f>AK59/сред</f>
        <v>0</v>
      </c>
      <c r="AJ59" s="140"/>
      <c r="AK59" s="143">
        <f>SUM(G60:AG60)</f>
        <v>0</v>
      </c>
      <c r="AL59" s="143"/>
      <c r="AM59" s="131">
        <f>IF(AK59=0,0,Таблиця!T267)</f>
        <v>0</v>
      </c>
      <c r="AN59" s="129">
        <f>AK59*AM59</f>
        <v>0</v>
      </c>
      <c r="AQ59" s="54"/>
      <c r="AR59">
        <v>59</v>
      </c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</row>
    <row r="60" spans="1:129" ht="34.5" customHeight="1">
      <c r="A60" s="163"/>
      <c r="B60" s="163"/>
      <c r="C60" s="163"/>
      <c r="D60" s="163"/>
      <c r="E60" s="164"/>
      <c r="F60" s="59" t="s">
        <v>96</v>
      </c>
      <c r="G60" s="72">
        <f aca="true" t="shared" si="53" ref="G60:N60">IF(G59=0,"",завтракл*G59/1000)</f>
      </c>
      <c r="H60" s="45">
        <f t="shared" si="53"/>
      </c>
      <c r="I60" s="44"/>
      <c r="J60" s="45">
        <f t="shared" si="53"/>
      </c>
      <c r="K60" s="44">
        <f t="shared" si="53"/>
      </c>
      <c r="L60" s="117">
        <f t="shared" si="53"/>
      </c>
      <c r="M60" s="72">
        <f t="shared" si="53"/>
      </c>
      <c r="N60" s="82">
        <f t="shared" si="53"/>
      </c>
      <c r="O60" s="46">
        <f aca="true" t="shared" si="54" ref="O60:T60">IF(O59=0,"",обідл*O59/1000)</f>
      </c>
      <c r="P60" s="44">
        <f t="shared" si="54"/>
      </c>
      <c r="Q60" s="45">
        <f t="shared" si="54"/>
      </c>
      <c r="R60" s="44">
        <f t="shared" si="54"/>
      </c>
      <c r="S60" s="45">
        <f t="shared" si="54"/>
      </c>
      <c r="T60" s="44">
        <f t="shared" si="54"/>
      </c>
      <c r="U60" s="45">
        <f>IF(U59=0,"",обідл*U59/1000)</f>
      </c>
      <c r="V60" s="82">
        <f>IF(V59=0,"",обідл*V59/1000)</f>
      </c>
      <c r="W60" s="46">
        <f>IF(W59=0,"",полдникл*W59/1000)</f>
      </c>
      <c r="X60" s="44"/>
      <c r="Y60" s="82">
        <f>IF(Y59=0,"",полдникл*Y59/1000)</f>
      </c>
      <c r="Z60" s="46">
        <f aca="true" t="shared" si="55" ref="Z60:AG60">IF(Z59=0,"",ужинл*Z59/1000)</f>
      </c>
      <c r="AA60" s="45">
        <f t="shared" si="55"/>
      </c>
      <c r="AB60" s="44">
        <f t="shared" si="55"/>
      </c>
      <c r="AC60" s="45">
        <f t="shared" si="55"/>
      </c>
      <c r="AD60" s="44">
        <f t="shared" si="55"/>
      </c>
      <c r="AE60" s="45">
        <f t="shared" si="55"/>
      </c>
      <c r="AF60" s="44">
        <f t="shared" si="55"/>
      </c>
      <c r="AG60" s="82">
        <f t="shared" si="55"/>
      </c>
      <c r="AH60" s="142"/>
      <c r="AI60" s="139"/>
      <c r="AJ60" s="140"/>
      <c r="AK60" s="143"/>
      <c r="AL60" s="143"/>
      <c r="AM60" s="132"/>
      <c r="AN60" s="130"/>
      <c r="AQ60" s="55"/>
      <c r="AR60">
        <v>60</v>
      </c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</row>
    <row r="61" spans="1:129" ht="34.5" customHeight="1">
      <c r="A61" s="163" t="s">
        <v>20</v>
      </c>
      <c r="B61" s="163"/>
      <c r="C61" s="163"/>
      <c r="D61" s="163"/>
      <c r="E61" s="164"/>
      <c r="F61" s="64" t="s">
        <v>98</v>
      </c>
      <c r="G61" s="71">
        <f>VLOOKUP(завтрак1,таб,20,FALSE)</f>
        <v>1.5</v>
      </c>
      <c r="H61" s="32">
        <f>VLOOKUP(завтрак2,таб,20,FALSE)</f>
        <v>0</v>
      </c>
      <c r="I61" s="33"/>
      <c r="J61" s="32">
        <f>VLOOKUP(завтрак4,таб,20,FALSE)</f>
        <v>0</v>
      </c>
      <c r="K61" s="33">
        <f>VLOOKUP(завтрак5,таб,20,FALSE)</f>
        <v>0</v>
      </c>
      <c r="L61" s="120">
        <f>VLOOKUP(завтрак6,таб,20,FALSE)</f>
        <v>0</v>
      </c>
      <c r="M61" s="71">
        <f>VLOOKUP(завтрак7,таб,20,FALSE)</f>
        <v>0</v>
      </c>
      <c r="N61" s="81">
        <f>VLOOKUP(завтрак8,таб,20,FALSE)</f>
        <v>0</v>
      </c>
      <c r="O61" s="34">
        <f>VLOOKUP(обед1,таб,20,FALSE)</f>
        <v>0</v>
      </c>
      <c r="P61" s="33">
        <f>VLOOKUP(обед2,таб,20,FALSE)</f>
        <v>0</v>
      </c>
      <c r="Q61" s="32">
        <f>VLOOKUP(обед3,таб,20,FALSE)</f>
        <v>0</v>
      </c>
      <c r="R61" s="33">
        <f>VLOOKUP(обед4,таб,20,FALSE)</f>
        <v>0</v>
      </c>
      <c r="S61" s="32">
        <f>VLOOKUP(обед5,таб,20,FALSE)</f>
        <v>0</v>
      </c>
      <c r="T61" s="33">
        <f>VLOOKUP(обед6,таб,20,FALSE)</f>
        <v>0</v>
      </c>
      <c r="U61" s="32">
        <f>VLOOKUP(обед7,таб,20,FALSE)</f>
        <v>0</v>
      </c>
      <c r="V61" s="87">
        <f>VLOOKUP(обед8,таб,20,FALSE)</f>
        <v>0</v>
      </c>
      <c r="W61" s="34">
        <f>VLOOKUP(полдник1,таб,20,FALSE)</f>
        <v>0</v>
      </c>
      <c r="X61" s="33"/>
      <c r="Y61" s="87">
        <f>VLOOKUP(полдник3,таб,20,FALSE)</f>
        <v>0</v>
      </c>
      <c r="Z61" s="34">
        <f>VLOOKUP(ужин1,таб,20,FALSE)</f>
        <v>0</v>
      </c>
      <c r="AA61" s="32">
        <f>VLOOKUP(ужин2,таб,20,FALSE)</f>
        <v>0</v>
      </c>
      <c r="AB61" s="33">
        <f>VLOOKUP(ужин3,таб,20,FALSE)</f>
        <v>0</v>
      </c>
      <c r="AC61" s="32">
        <f>VLOOKUP(ужин4,таб,20,FALSE)</f>
        <v>0</v>
      </c>
      <c r="AD61" s="33">
        <f>VLOOKUP(ужин5,таб,20,FALSE)</f>
        <v>0</v>
      </c>
      <c r="AE61" s="32">
        <f>VLOOKUP(ужин6,таб,20,FALSE)</f>
        <v>0</v>
      </c>
      <c r="AF61" s="33">
        <f>VLOOKUP(ужин7,таб,20,FALSE)</f>
        <v>0</v>
      </c>
      <c r="AG61" s="87">
        <f>VLOOKUP(ужин8,таб,20,FALSE)</f>
        <v>0</v>
      </c>
      <c r="AH61" s="141">
        <v>612064</v>
      </c>
      <c r="AI61" s="139">
        <f>AK61/сред</f>
        <v>1.5</v>
      </c>
      <c r="AJ61" s="140"/>
      <c r="AK61" s="222">
        <f>SUM(G62:AG62)</f>
        <v>30</v>
      </c>
      <c r="AL61" s="222"/>
      <c r="AM61" s="131">
        <f>IF(AK61=0,0,Таблиця!U267)</f>
        <v>4</v>
      </c>
      <c r="AN61" s="129">
        <f>AK61*AM61</f>
        <v>120</v>
      </c>
      <c r="AQ61" s="55"/>
      <c r="AR61">
        <v>61</v>
      </c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</row>
    <row r="62" spans="1:129" ht="34.5" customHeight="1">
      <c r="A62" s="163"/>
      <c r="B62" s="163"/>
      <c r="C62" s="163"/>
      <c r="D62" s="163"/>
      <c r="E62" s="164"/>
      <c r="F62" s="59" t="s">
        <v>98</v>
      </c>
      <c r="G62" s="75">
        <f aca="true" t="shared" si="56" ref="G62:L62">IF(G61=0,"",завтракл*G61)</f>
        <v>30</v>
      </c>
      <c r="H62" s="24">
        <f t="shared" si="56"/>
      </c>
      <c r="I62" s="23"/>
      <c r="J62" s="24">
        <f t="shared" si="56"/>
      </c>
      <c r="K62" s="23">
        <f t="shared" si="56"/>
      </c>
      <c r="L62" s="122">
        <f t="shared" si="56"/>
      </c>
      <c r="M62" s="75">
        <f>IF(M61=0,"",завтракл*M61)</f>
      </c>
      <c r="N62" s="83">
        <f>IF(N61=0,"",завтракл*N61)</f>
      </c>
      <c r="O62" s="25">
        <f aca="true" t="shared" si="57" ref="O62:V62">IF(O61=0,"",завтракл*O61)</f>
      </c>
      <c r="P62" s="23">
        <f t="shared" si="57"/>
      </c>
      <c r="Q62" s="24">
        <f t="shared" si="57"/>
      </c>
      <c r="R62" s="23">
        <f t="shared" si="57"/>
      </c>
      <c r="S62" s="24">
        <f t="shared" si="57"/>
      </c>
      <c r="T62" s="23">
        <f t="shared" si="57"/>
      </c>
      <c r="U62" s="24">
        <f t="shared" si="57"/>
      </c>
      <c r="V62" s="83">
        <f t="shared" si="57"/>
      </c>
      <c r="W62" s="25">
        <f>IF(W61=0,"",полдникл*W61)</f>
      </c>
      <c r="X62" s="23"/>
      <c r="Y62" s="83">
        <f>IF(Y61=0,"",полдникл*Y61)</f>
      </c>
      <c r="Z62" s="25">
        <f aca="true" t="shared" si="58" ref="Z62:AG62">IF(Z61=0,"",ужинл*Z61)</f>
      </c>
      <c r="AA62" s="24">
        <f t="shared" si="58"/>
      </c>
      <c r="AB62" s="23">
        <f>IF(AB61=0,"",ужинл*AB61)</f>
      </c>
      <c r="AC62" s="24">
        <f t="shared" si="58"/>
      </c>
      <c r="AD62" s="23">
        <f t="shared" si="58"/>
      </c>
      <c r="AE62" s="24">
        <f t="shared" si="58"/>
      </c>
      <c r="AF62" s="23">
        <f t="shared" si="58"/>
      </c>
      <c r="AG62" s="83">
        <f t="shared" si="58"/>
      </c>
      <c r="AH62" s="142"/>
      <c r="AI62" s="139"/>
      <c r="AJ62" s="140"/>
      <c r="AK62" s="222"/>
      <c r="AL62" s="222"/>
      <c r="AM62" s="132"/>
      <c r="AN62" s="130"/>
      <c r="AQ62" s="54"/>
      <c r="AR62">
        <v>62</v>
      </c>
      <c r="AT62" s="54"/>
      <c r="DE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</row>
    <row r="63" spans="1:129" ht="34.5" customHeight="1">
      <c r="A63" s="156" t="s">
        <v>126</v>
      </c>
      <c r="B63" s="156"/>
      <c r="C63" s="156"/>
      <c r="D63" s="156"/>
      <c r="E63" s="157"/>
      <c r="F63" s="64" t="s">
        <v>95</v>
      </c>
      <c r="G63" s="73">
        <f>VLOOKUP(завтрак1,таб,21,FALSE)</f>
        <v>0</v>
      </c>
      <c r="H63" s="35">
        <f>VLOOKUP(завтрак2,таб,21,FALSE)</f>
        <v>0</v>
      </c>
      <c r="I63" s="36"/>
      <c r="J63" s="35">
        <f>VLOOKUP(завтрак4,таб,21,FALSE)</f>
        <v>0</v>
      </c>
      <c r="K63" s="36">
        <f>VLOOKUP(завтрак5,таб,21,FALSE)</f>
        <v>0</v>
      </c>
      <c r="L63" s="121">
        <f>VLOOKUP(завтрак6,таб,21,FALSE)</f>
        <v>0</v>
      </c>
      <c r="M63" s="71">
        <f>VLOOKUP(завтрак7,таб,21,FALSE)</f>
        <v>0</v>
      </c>
      <c r="N63" s="81">
        <f>VLOOKUP(завтрак8,таб,21,FALSE)</f>
        <v>0</v>
      </c>
      <c r="O63" s="37">
        <f>VLOOKUP(обед1,таб,21,FALSE)</f>
        <v>0</v>
      </c>
      <c r="P63" s="36">
        <f>VLOOKUP(обед2,таб,21,FALSE)</f>
        <v>0</v>
      </c>
      <c r="Q63" s="35">
        <f>VLOOKUP(обед3,таб,21,FALSE)</f>
        <v>0</v>
      </c>
      <c r="R63" s="36">
        <f>VLOOKUP(обед4,таб,21,FALSE)</f>
        <v>0</v>
      </c>
      <c r="S63" s="35">
        <f>VLOOKUP(обед5,таб,21,FALSE)</f>
        <v>125</v>
      </c>
      <c r="T63" s="36">
        <f>VLOOKUP(обед6,таб,21,FALSE)</f>
        <v>0</v>
      </c>
      <c r="U63" s="35">
        <f>VLOOKUP(обед7,таб,21,FALSE)</f>
        <v>0</v>
      </c>
      <c r="V63" s="88">
        <f>VLOOKUP(обед8,таб,21,FALSE)</f>
        <v>0</v>
      </c>
      <c r="W63" s="37">
        <f>VLOOKUP(полдник1,таб,21,FALSE)</f>
        <v>0</v>
      </c>
      <c r="X63" s="36"/>
      <c r="Y63" s="88">
        <f>VLOOKUP(полдник3,таб,21,FALSE)</f>
        <v>0</v>
      </c>
      <c r="Z63" s="37">
        <f>VLOOKUP(ужин1,таб,21,FALSE)</f>
        <v>0</v>
      </c>
      <c r="AA63" s="35">
        <f>VLOOKUP(ужин2,таб,21,FALSE)</f>
        <v>0</v>
      </c>
      <c r="AB63" s="36">
        <f>VLOOKUP(ужин3,таб,21,FALSE)</f>
        <v>0</v>
      </c>
      <c r="AC63" s="35">
        <f>VLOOKUP(ужин4,таб,21,FALSE)</f>
        <v>0</v>
      </c>
      <c r="AD63" s="36">
        <f>VLOOKUP(ужин5,таб,21,FALSE)</f>
        <v>0</v>
      </c>
      <c r="AE63" s="35">
        <f>VLOOKUP(ужин6,таб,21,FALSE)</f>
        <v>0</v>
      </c>
      <c r="AF63" s="36">
        <f>VLOOKUP(ужин7,таб,21,FALSE)</f>
        <v>0</v>
      </c>
      <c r="AG63" s="88">
        <f>VLOOKUP(ужин8,таб,21,FALSE)</f>
        <v>0</v>
      </c>
      <c r="AH63" s="141">
        <v>612112</v>
      </c>
      <c r="AI63" s="139">
        <f>AK63/сред</f>
        <v>0.125</v>
      </c>
      <c r="AJ63" s="140"/>
      <c r="AK63" s="143">
        <f>SUM(G64:AG64)</f>
        <v>2.5</v>
      </c>
      <c r="AL63" s="143"/>
      <c r="AM63" s="131">
        <f>IF(AK63=0,0,Таблиця!V267)</f>
        <v>46.75</v>
      </c>
      <c r="AN63" s="129">
        <f>AK63*AM63</f>
        <v>116.875</v>
      </c>
      <c r="AQ63" s="55"/>
      <c r="AR63">
        <v>63</v>
      </c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</row>
    <row r="64" spans="1:129" ht="34.5" customHeight="1">
      <c r="A64" s="158"/>
      <c r="B64" s="158"/>
      <c r="C64" s="158"/>
      <c r="D64" s="158"/>
      <c r="E64" s="159"/>
      <c r="F64" s="59" t="s">
        <v>96</v>
      </c>
      <c r="G64" s="74">
        <f aca="true" t="shared" si="59" ref="G64:N64">IF(G63=0,"",завтракл*G63/1000)</f>
      </c>
      <c r="H64" s="47">
        <f t="shared" si="59"/>
      </c>
      <c r="I64" s="43"/>
      <c r="J64" s="47">
        <f t="shared" si="59"/>
      </c>
      <c r="K64" s="43">
        <f t="shared" si="59"/>
      </c>
      <c r="L64" s="118">
        <f t="shared" si="59"/>
      </c>
      <c r="M64" s="72">
        <f t="shared" si="59"/>
      </c>
      <c r="N64" s="82">
        <f t="shared" si="59"/>
      </c>
      <c r="O64" s="48">
        <f aca="true" t="shared" si="60" ref="O64:T64">IF(O63=0,"",обідл*O63/1000)</f>
      </c>
      <c r="P64" s="43">
        <f t="shared" si="60"/>
      </c>
      <c r="Q64" s="47">
        <f t="shared" si="60"/>
      </c>
      <c r="R64" s="43">
        <f t="shared" si="60"/>
      </c>
      <c r="S64" s="47">
        <f t="shared" si="60"/>
        <v>2.5</v>
      </c>
      <c r="T64" s="43">
        <f t="shared" si="60"/>
      </c>
      <c r="U64" s="47">
        <f>IF(U63=0,"",обідл*U63/1000)</f>
      </c>
      <c r="V64" s="85">
        <f>IF(V63=0,"",обідл*V63/1000)</f>
      </c>
      <c r="W64" s="48">
        <f>IF(W63=0,"",полдникл*W63/1000)</f>
      </c>
      <c r="X64" s="43"/>
      <c r="Y64" s="85">
        <f>IF(Y63=0,"",полдникл*Y63/1000)</f>
      </c>
      <c r="Z64" s="48">
        <f aca="true" t="shared" si="61" ref="Z64:AG64">IF(Z63=0,"",ужинл*Z63/1000)</f>
      </c>
      <c r="AA64" s="47">
        <f t="shared" si="61"/>
      </c>
      <c r="AB64" s="43">
        <f t="shared" si="61"/>
      </c>
      <c r="AC64" s="47">
        <f t="shared" si="61"/>
      </c>
      <c r="AD64" s="43">
        <f t="shared" si="61"/>
      </c>
      <c r="AE64" s="47">
        <f t="shared" si="61"/>
      </c>
      <c r="AF64" s="43">
        <f t="shared" si="61"/>
      </c>
      <c r="AG64" s="85">
        <f t="shared" si="61"/>
      </c>
      <c r="AH64" s="142"/>
      <c r="AI64" s="139"/>
      <c r="AJ64" s="140"/>
      <c r="AK64" s="143"/>
      <c r="AL64" s="143"/>
      <c r="AM64" s="132"/>
      <c r="AN64" s="130"/>
      <c r="AQ64" s="55"/>
      <c r="AR64">
        <v>64</v>
      </c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</row>
    <row r="65" spans="1:129" ht="34.5" customHeight="1">
      <c r="A65" s="163" t="s">
        <v>60</v>
      </c>
      <c r="B65" s="163"/>
      <c r="C65" s="163"/>
      <c r="D65" s="163"/>
      <c r="E65" s="164"/>
      <c r="F65" s="64" t="s">
        <v>95</v>
      </c>
      <c r="G65" s="71">
        <f>VLOOKUP(завтрак1,таб,22,FALSE)</f>
        <v>11.3</v>
      </c>
      <c r="H65" s="32">
        <f>VLOOKUP(завтрак2,таб,22,FALSE)</f>
        <v>0</v>
      </c>
      <c r="I65" s="33"/>
      <c r="J65" s="32">
        <f>VLOOKUP(завтрак4,таб,22,FALSE)</f>
        <v>0</v>
      </c>
      <c r="K65" s="33">
        <f>VLOOKUP(завтрак5,таб,22,FALSE)</f>
        <v>0</v>
      </c>
      <c r="L65" s="120">
        <f>VLOOKUP(завтрак6,таб,22,FALSE)</f>
        <v>0</v>
      </c>
      <c r="M65" s="71">
        <f>VLOOKUP(завтрак7,таб,22,FALSE)</f>
        <v>0</v>
      </c>
      <c r="N65" s="81">
        <f>VLOOKUP(завтрак8,таб,22,FALSE)</f>
        <v>0</v>
      </c>
      <c r="O65" s="34">
        <f>VLOOKUP(обед1,таб,22,FALSE)</f>
        <v>0</v>
      </c>
      <c r="P65" s="33">
        <f>VLOOKUP(обед2,таб,22,FALSE)</f>
        <v>0</v>
      </c>
      <c r="Q65" s="32">
        <f>VLOOKUP(обед3,таб,22,FALSE)</f>
        <v>0</v>
      </c>
      <c r="R65" s="33">
        <f>VLOOKUP(обед4,таб,22,FALSE)</f>
        <v>0</v>
      </c>
      <c r="S65" s="32">
        <f>VLOOKUP(обед5,таб,22,FALSE)</f>
        <v>0</v>
      </c>
      <c r="T65" s="33">
        <f>VLOOKUP(обед6,таб,22,FALSE)</f>
        <v>0</v>
      </c>
      <c r="U65" s="32">
        <f>VLOOKUP(обед7,таб,22,FALSE)</f>
        <v>0</v>
      </c>
      <c r="V65" s="87">
        <f>VLOOKUP(обед8,таб,22,FALSE)</f>
        <v>0</v>
      </c>
      <c r="W65" s="34">
        <f>VLOOKUP(полдник1,таб,22,FALSE)</f>
        <v>0</v>
      </c>
      <c r="X65" s="33"/>
      <c r="Y65" s="87">
        <f>VLOOKUP(полдник3,таб,22,FALSE)</f>
        <v>0</v>
      </c>
      <c r="Z65" s="34">
        <f>VLOOKUP(ужин1,таб,22,FALSE)</f>
        <v>0</v>
      </c>
      <c r="AA65" s="32">
        <f>VLOOKUP(ужин2,таб,22,FALSE)</f>
        <v>0</v>
      </c>
      <c r="AB65" s="33">
        <f>VLOOKUP(ужин3,таб,22,FALSE)</f>
        <v>0</v>
      </c>
      <c r="AC65" s="32">
        <f>VLOOKUP(ужин4,таб,22,FALSE)</f>
        <v>0</v>
      </c>
      <c r="AD65" s="33">
        <f>VLOOKUP(ужин5,таб,22,FALSE)</f>
        <v>0</v>
      </c>
      <c r="AE65" s="32">
        <f>VLOOKUP(ужин6,таб,22,FALSE)</f>
        <v>0</v>
      </c>
      <c r="AF65" s="33">
        <f>VLOOKUP(ужин7,таб,22,FALSE)</f>
        <v>0</v>
      </c>
      <c r="AG65" s="87">
        <f>VLOOKUP(ужин8,таб,22,FALSE)</f>
        <v>0</v>
      </c>
      <c r="AH65" s="141">
        <v>613001</v>
      </c>
      <c r="AI65" s="139">
        <f>AK65/сред</f>
        <v>0.011300000000000001</v>
      </c>
      <c r="AJ65" s="140"/>
      <c r="AK65" s="143">
        <f>SUM(G66:AG66)</f>
        <v>0.226</v>
      </c>
      <c r="AL65" s="143"/>
      <c r="AM65" s="131">
        <f>IF(AK65=0,0,Таблиця!W267)</f>
        <v>15.5</v>
      </c>
      <c r="AN65" s="129">
        <f>AK65*AM65</f>
        <v>3.503</v>
      </c>
      <c r="AQ65" s="55"/>
      <c r="AR65">
        <v>65</v>
      </c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</row>
    <row r="66" spans="1:129" ht="34.5" customHeight="1">
      <c r="A66" s="163"/>
      <c r="B66" s="163"/>
      <c r="C66" s="163"/>
      <c r="D66" s="163"/>
      <c r="E66" s="164"/>
      <c r="F66" s="59" t="s">
        <v>96</v>
      </c>
      <c r="G66" s="72">
        <f aca="true" t="shared" si="62" ref="G66:N66">IF(G65=0,"",завтракл*G65/1000)</f>
        <v>0.226</v>
      </c>
      <c r="H66" s="45">
        <f t="shared" si="62"/>
      </c>
      <c r="I66" s="44"/>
      <c r="J66" s="45">
        <f t="shared" si="62"/>
      </c>
      <c r="K66" s="44">
        <f t="shared" si="62"/>
      </c>
      <c r="L66" s="117">
        <f t="shared" si="62"/>
      </c>
      <c r="M66" s="72">
        <f t="shared" si="62"/>
      </c>
      <c r="N66" s="82">
        <f t="shared" si="62"/>
      </c>
      <c r="O66" s="46">
        <f aca="true" t="shared" si="63" ref="O66:T66">IF(O65=0,"",обідл*O65/1000)</f>
      </c>
      <c r="P66" s="44">
        <f t="shared" si="63"/>
      </c>
      <c r="Q66" s="45">
        <f t="shared" si="63"/>
      </c>
      <c r="R66" s="44">
        <f t="shared" si="63"/>
      </c>
      <c r="S66" s="45">
        <f t="shared" si="63"/>
      </c>
      <c r="T66" s="44">
        <f t="shared" si="63"/>
      </c>
      <c r="U66" s="45">
        <f>IF(U65=0,"",обідл*U65/1000)</f>
      </c>
      <c r="V66" s="82">
        <f>IF(V65=0,"",обідл*V65/1000)</f>
      </c>
      <c r="W66" s="46">
        <f>IF(W65=0,"",полдникл*W65/1000)</f>
      </c>
      <c r="X66" s="44"/>
      <c r="Y66" s="82">
        <f>IF(Y65=0,"",полдникл*Y65/1000)</f>
      </c>
      <c r="Z66" s="46">
        <f aca="true" t="shared" si="64" ref="Z66:AG66">IF(Z65=0,"",ужинл*Z65/1000)</f>
      </c>
      <c r="AA66" s="45">
        <f t="shared" si="64"/>
      </c>
      <c r="AB66" s="44">
        <f t="shared" si="64"/>
      </c>
      <c r="AC66" s="45">
        <f t="shared" si="64"/>
      </c>
      <c r="AD66" s="44">
        <f t="shared" si="64"/>
      </c>
      <c r="AE66" s="45">
        <f t="shared" si="64"/>
      </c>
      <c r="AF66" s="44">
        <f t="shared" si="64"/>
      </c>
      <c r="AG66" s="82">
        <f t="shared" si="64"/>
      </c>
      <c r="AH66" s="142"/>
      <c r="AI66" s="139"/>
      <c r="AJ66" s="140"/>
      <c r="AK66" s="143"/>
      <c r="AL66" s="143"/>
      <c r="AM66" s="132"/>
      <c r="AN66" s="130"/>
      <c r="AQ66" s="55"/>
      <c r="AR66">
        <v>66</v>
      </c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</row>
    <row r="67" spans="1:129" ht="34.5" customHeight="1">
      <c r="A67" s="156" t="s">
        <v>21</v>
      </c>
      <c r="B67" s="156"/>
      <c r="C67" s="156"/>
      <c r="D67" s="156"/>
      <c r="E67" s="157"/>
      <c r="F67" s="64" t="s">
        <v>95</v>
      </c>
      <c r="G67" s="73">
        <f>VLOOKUP(завтрак1,таб,23,FALSE)</f>
        <v>0</v>
      </c>
      <c r="H67" s="35">
        <f>VLOOKUP(завтрак2,таб,23,FALSE)</f>
        <v>0</v>
      </c>
      <c r="I67" s="36"/>
      <c r="J67" s="35">
        <f>VLOOKUP(завтрак4,таб,23,FALSE)</f>
        <v>0</v>
      </c>
      <c r="K67" s="36">
        <f>VLOOKUP(завтрак5,таб,23,FALSE)</f>
        <v>0</v>
      </c>
      <c r="L67" s="121">
        <f>VLOOKUP(завтрак6,таб,23,FALSE)</f>
        <v>0</v>
      </c>
      <c r="M67" s="71">
        <f>VLOOKUP(завтрак7,таб,23,FALSE)</f>
        <v>0</v>
      </c>
      <c r="N67" s="81">
        <f>VLOOKUP(завтрак8,таб,23,FALSE)</f>
        <v>0</v>
      </c>
      <c r="O67" s="37">
        <f>VLOOKUP(обед1,таб,23,FALSE)</f>
        <v>0</v>
      </c>
      <c r="P67" s="36">
        <f>VLOOKUP(обед2,таб,23,FALSE)</f>
        <v>0</v>
      </c>
      <c r="Q67" s="35">
        <f>VLOOKUP(обед3,таб,23,FALSE)</f>
        <v>0</v>
      </c>
      <c r="R67" s="36">
        <f>VLOOKUP(обед4,таб,23,FALSE)</f>
        <v>0</v>
      </c>
      <c r="S67" s="35">
        <f>VLOOKUP(обед5,таб,23,FALSE)</f>
        <v>0</v>
      </c>
      <c r="T67" s="36">
        <f>VLOOKUP(обед6,таб,23,FALSE)</f>
        <v>0</v>
      </c>
      <c r="U67" s="35">
        <f>VLOOKUP(обед7,таб,23,FALSE)</f>
        <v>0</v>
      </c>
      <c r="V67" s="88">
        <f>VLOOKUP(обед8,таб,23,FALSE)</f>
        <v>0</v>
      </c>
      <c r="W67" s="37">
        <f>VLOOKUP(полдник1,таб,23,FALSE)</f>
        <v>0</v>
      </c>
      <c r="X67" s="36"/>
      <c r="Y67" s="88">
        <f>VLOOKUP(полдник3,таб,23,FALSE)</f>
        <v>0</v>
      </c>
      <c r="Z67" s="37">
        <f>VLOOKUP(ужин1,таб,23,FALSE)</f>
        <v>0</v>
      </c>
      <c r="AA67" s="35">
        <f>VLOOKUP(ужин2,таб,23,FALSE)</f>
        <v>0</v>
      </c>
      <c r="AB67" s="36">
        <f>VLOOKUP(ужин3,таб,23,FALSE)</f>
        <v>0</v>
      </c>
      <c r="AC67" s="35">
        <f>VLOOKUP(ужин4,таб,23,FALSE)</f>
        <v>0</v>
      </c>
      <c r="AD67" s="36">
        <f>VLOOKUP(ужин5,таб,23,FALSE)</f>
        <v>0</v>
      </c>
      <c r="AE67" s="35">
        <f>VLOOKUP(ужин6,таб,23,FALSE)</f>
        <v>0</v>
      </c>
      <c r="AF67" s="36">
        <f>VLOOKUP(ужин7,таб,23,FALSE)</f>
        <v>0</v>
      </c>
      <c r="AG67" s="88">
        <f>VLOOKUP(ужин8,таб,23,FALSE)</f>
        <v>0</v>
      </c>
      <c r="AH67" s="141">
        <v>613016</v>
      </c>
      <c r="AI67" s="139">
        <f>AK67/сред</f>
        <v>0</v>
      </c>
      <c r="AJ67" s="140"/>
      <c r="AK67" s="143">
        <f>SUM(G68:AG68)</f>
        <v>0</v>
      </c>
      <c r="AL67" s="143"/>
      <c r="AM67" s="131">
        <f>IF(AK67=0,0,Таблиця!X267)</f>
        <v>0</v>
      </c>
      <c r="AN67" s="129">
        <f>AK67*AM67</f>
        <v>0</v>
      </c>
      <c r="AQ67" s="55"/>
      <c r="AR67">
        <v>67</v>
      </c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</row>
    <row r="68" spans="1:129" ht="34.5" customHeight="1">
      <c r="A68" s="158"/>
      <c r="B68" s="158"/>
      <c r="C68" s="158"/>
      <c r="D68" s="158"/>
      <c r="E68" s="159"/>
      <c r="F68" s="59" t="s">
        <v>96</v>
      </c>
      <c r="G68" s="74">
        <f aca="true" t="shared" si="65" ref="G68:N68">IF(G67=0,"",завтракл*G67/1000)</f>
      </c>
      <c r="H68" s="47">
        <f t="shared" si="65"/>
      </c>
      <c r="I68" s="43"/>
      <c r="J68" s="47">
        <f t="shared" si="65"/>
      </c>
      <c r="K68" s="43">
        <f t="shared" si="65"/>
      </c>
      <c r="L68" s="118">
        <f t="shared" si="65"/>
      </c>
      <c r="M68" s="72">
        <f t="shared" si="65"/>
      </c>
      <c r="N68" s="82">
        <f t="shared" si="65"/>
      </c>
      <c r="O68" s="48">
        <f aca="true" t="shared" si="66" ref="O68:T68">IF(O67=0,"",обідл*O67/1000)</f>
      </c>
      <c r="P68" s="43">
        <f t="shared" si="66"/>
      </c>
      <c r="Q68" s="47">
        <f t="shared" si="66"/>
      </c>
      <c r="R68" s="43">
        <f t="shared" si="66"/>
      </c>
      <c r="S68" s="47">
        <f t="shared" si="66"/>
      </c>
      <c r="T68" s="43">
        <f t="shared" si="66"/>
      </c>
      <c r="U68" s="47">
        <f>IF(U67=0,"",обідл*U67/1000)</f>
      </c>
      <c r="V68" s="85">
        <f>IF(V67=0,"",обідл*V67/1000)</f>
      </c>
      <c r="W68" s="48">
        <f>IF(W67=0,"",полдникл*W67/1000)</f>
      </c>
      <c r="X68" s="43"/>
      <c r="Y68" s="85">
        <f>IF(Y67=0,"",полдникл*Y67/1000)</f>
      </c>
      <c r="Z68" s="48">
        <f aca="true" t="shared" si="67" ref="Z68:AG68">IF(Z67=0,"",ужинл*Z67/1000)</f>
      </c>
      <c r="AA68" s="47">
        <f t="shared" si="67"/>
      </c>
      <c r="AB68" s="43">
        <f t="shared" si="67"/>
      </c>
      <c r="AC68" s="47">
        <f t="shared" si="67"/>
      </c>
      <c r="AD68" s="43">
        <f t="shared" si="67"/>
      </c>
      <c r="AE68" s="47">
        <f t="shared" si="67"/>
      </c>
      <c r="AF68" s="43">
        <f t="shared" si="67"/>
      </c>
      <c r="AG68" s="85">
        <f t="shared" si="67"/>
      </c>
      <c r="AH68" s="142"/>
      <c r="AI68" s="139"/>
      <c r="AJ68" s="140"/>
      <c r="AK68" s="143"/>
      <c r="AL68" s="143"/>
      <c r="AM68" s="132"/>
      <c r="AN68" s="130"/>
      <c r="AQ68" s="55"/>
      <c r="AR68">
        <v>68</v>
      </c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</row>
    <row r="69" spans="1:129" ht="31.5" customHeight="1">
      <c r="A69" s="163" t="s">
        <v>22</v>
      </c>
      <c r="B69" s="163"/>
      <c r="C69" s="163"/>
      <c r="D69" s="163"/>
      <c r="E69" s="164"/>
      <c r="F69" s="64" t="s">
        <v>95</v>
      </c>
      <c r="G69" s="71">
        <f>VLOOKUP(завтрак1,таб,24,FALSE)</f>
        <v>0</v>
      </c>
      <c r="H69" s="32">
        <f>VLOOKUP(завтрак2,таб,24,FALSE)</f>
        <v>0</v>
      </c>
      <c r="I69" s="33"/>
      <c r="J69" s="32">
        <f>VLOOKUP(завтрак4,таб,24,FALSE)</f>
        <v>0</v>
      </c>
      <c r="K69" s="33">
        <f>VLOOKUP(завтрак5,таб,24,FALSE)</f>
        <v>0</v>
      </c>
      <c r="L69" s="120">
        <f>VLOOKUP(завтрак6,таб,24,FALSE)</f>
        <v>0</v>
      </c>
      <c r="M69" s="71">
        <f>VLOOKUP(завтрак7,таб,24,FALSE)</f>
        <v>0</v>
      </c>
      <c r="N69" s="81">
        <f>VLOOKUP(завтрак8,таб,24,FALSE)</f>
        <v>0</v>
      </c>
      <c r="O69" s="34">
        <f>VLOOKUP(обед1,таб,24,FALSE)</f>
        <v>0</v>
      </c>
      <c r="P69" s="33">
        <f>VLOOKUP(обед2,таб,24,FALSE)</f>
        <v>0</v>
      </c>
      <c r="Q69" s="32">
        <f>VLOOKUP(обед3,таб,24,FALSE)</f>
        <v>0</v>
      </c>
      <c r="R69" s="33">
        <f>VLOOKUP(обед4,таб,24,FALSE)</f>
        <v>0</v>
      </c>
      <c r="S69" s="32">
        <f>VLOOKUP(обед5,таб,24,FALSE)</f>
        <v>0</v>
      </c>
      <c r="T69" s="33">
        <f>VLOOKUP(обед6,таб,24,FALSE)</f>
        <v>0</v>
      </c>
      <c r="U69" s="32">
        <f>VLOOKUP(обед7,таб,24,FALSE)</f>
        <v>0</v>
      </c>
      <c r="V69" s="87">
        <f>VLOOKUP(обед8,таб,24,FALSE)</f>
        <v>0</v>
      </c>
      <c r="W69" s="34">
        <f>VLOOKUP(полдник1,таб,24,FALSE)</f>
        <v>0</v>
      </c>
      <c r="X69" s="33"/>
      <c r="Y69" s="87">
        <f>VLOOKUP(полдник3,таб,24,FALSE)</f>
        <v>0</v>
      </c>
      <c r="Z69" s="34">
        <f>VLOOKUP(ужин1,таб,24,FALSE)</f>
        <v>0</v>
      </c>
      <c r="AA69" s="32">
        <f>VLOOKUP(ужин2,таб,24,FALSE)</f>
        <v>0</v>
      </c>
      <c r="AB69" s="33">
        <f>VLOOKUP(ужин3,таб,24,FALSE)</f>
        <v>0</v>
      </c>
      <c r="AC69" s="32">
        <f>VLOOKUP(ужин4,таб,24,FALSE)</f>
        <v>0</v>
      </c>
      <c r="AD69" s="33">
        <f>VLOOKUP(ужин5,таб,24,FALSE)</f>
        <v>0</v>
      </c>
      <c r="AE69" s="32">
        <f>VLOOKUP(ужин6,таб,24,FALSE)</f>
        <v>0</v>
      </c>
      <c r="AF69" s="33">
        <f>VLOOKUP(ужин7,таб,24,FALSE)</f>
        <v>0</v>
      </c>
      <c r="AG69" s="87">
        <f>VLOOKUP(ужин8,таб,24,FALSE)</f>
        <v>0</v>
      </c>
      <c r="AH69" s="141">
        <v>613029</v>
      </c>
      <c r="AI69" s="139">
        <f>AK69/сред</f>
        <v>0</v>
      </c>
      <c r="AJ69" s="140"/>
      <c r="AK69" s="143">
        <f>SUM(G70:AG70)</f>
        <v>0</v>
      </c>
      <c r="AL69" s="143"/>
      <c r="AM69" s="131">
        <f>IF(AK69=0,0,Таблиця!Y267)</f>
        <v>0</v>
      </c>
      <c r="AN69" s="129">
        <f>AK69*AM69</f>
        <v>0</v>
      </c>
      <c r="AQ69" s="55"/>
      <c r="AR69">
        <v>69</v>
      </c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</row>
    <row r="70" spans="1:129" ht="31.5" customHeight="1">
      <c r="A70" s="163"/>
      <c r="B70" s="163"/>
      <c r="C70" s="163"/>
      <c r="D70" s="163"/>
      <c r="E70" s="164"/>
      <c r="F70" s="59" t="s">
        <v>96</v>
      </c>
      <c r="G70" s="72">
        <f aca="true" t="shared" si="68" ref="G70:N70">IF(G69=0,"",завтракл*G69/1000)</f>
      </c>
      <c r="H70" s="45">
        <f t="shared" si="68"/>
      </c>
      <c r="I70" s="44"/>
      <c r="J70" s="45">
        <f t="shared" si="68"/>
      </c>
      <c r="K70" s="44">
        <f t="shared" si="68"/>
      </c>
      <c r="L70" s="117">
        <f t="shared" si="68"/>
      </c>
      <c r="M70" s="72">
        <f t="shared" si="68"/>
      </c>
      <c r="N70" s="82">
        <f t="shared" si="68"/>
      </c>
      <c r="O70" s="46">
        <f aca="true" t="shared" si="69" ref="O70:T70">IF(O69=0,"",обідл*O69/1000)</f>
      </c>
      <c r="P70" s="44">
        <f t="shared" si="69"/>
      </c>
      <c r="Q70" s="45">
        <f t="shared" si="69"/>
      </c>
      <c r="R70" s="44">
        <f t="shared" si="69"/>
      </c>
      <c r="S70" s="45">
        <f t="shared" si="69"/>
      </c>
      <c r="T70" s="44">
        <f t="shared" si="69"/>
      </c>
      <c r="U70" s="45">
        <f>IF(U69=0,"",обідл*U69/1000)</f>
      </c>
      <c r="V70" s="82">
        <f>IF(V69=0,"",обідл*V69/1000)</f>
      </c>
      <c r="W70" s="46">
        <f>IF(W69=0,"",полдникл*W69/1000)</f>
      </c>
      <c r="X70" s="44"/>
      <c r="Y70" s="82">
        <f>IF(Y69=0,"",полдникл*Y69/1000)</f>
      </c>
      <c r="Z70" s="46">
        <f aca="true" t="shared" si="70" ref="Z70:AG70">IF(Z69=0,"",ужинл*Z69/1000)</f>
      </c>
      <c r="AA70" s="45">
        <f t="shared" si="70"/>
      </c>
      <c r="AB70" s="44">
        <f t="shared" si="70"/>
      </c>
      <c r="AC70" s="45">
        <f t="shared" si="70"/>
      </c>
      <c r="AD70" s="44">
        <f t="shared" si="70"/>
      </c>
      <c r="AE70" s="45">
        <f t="shared" si="70"/>
      </c>
      <c r="AF70" s="44">
        <f t="shared" si="70"/>
      </c>
      <c r="AG70" s="82">
        <f t="shared" si="70"/>
      </c>
      <c r="AH70" s="142"/>
      <c r="AI70" s="139"/>
      <c r="AJ70" s="140"/>
      <c r="AK70" s="143"/>
      <c r="AL70" s="143"/>
      <c r="AM70" s="132"/>
      <c r="AN70" s="130"/>
      <c r="AQ70" s="55"/>
      <c r="AR70">
        <v>70</v>
      </c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</row>
    <row r="71" spans="1:129" ht="31.5" customHeight="1">
      <c r="A71" s="156" t="s">
        <v>23</v>
      </c>
      <c r="B71" s="156"/>
      <c r="C71" s="156"/>
      <c r="D71" s="156"/>
      <c r="E71" s="157"/>
      <c r="F71" s="64" t="s">
        <v>95</v>
      </c>
      <c r="G71" s="73">
        <f>VLOOKUP(завтрак1,таб,25,FALSE)</f>
        <v>0</v>
      </c>
      <c r="H71" s="35">
        <f>VLOOKUP(завтрак2,таб,25,FALSE)</f>
        <v>0</v>
      </c>
      <c r="I71" s="36"/>
      <c r="J71" s="35">
        <f>VLOOKUP(завтрак4,таб,25,FALSE)</f>
        <v>0</v>
      </c>
      <c r="K71" s="36">
        <f>VLOOKUP(завтрак5,таб,25,FALSE)</f>
        <v>0</v>
      </c>
      <c r="L71" s="121">
        <f>VLOOKUP(завтрак6,таб,25,FALSE)</f>
        <v>0</v>
      </c>
      <c r="M71" s="71">
        <f>VLOOKUP(завтрак7,таб,25,FALSE)</f>
        <v>0</v>
      </c>
      <c r="N71" s="81">
        <f>VLOOKUP(завтрак8,таб,25,FALSE)</f>
        <v>0</v>
      </c>
      <c r="O71" s="37">
        <f>VLOOKUP(обед1,таб,25,FALSE)</f>
        <v>0</v>
      </c>
      <c r="P71" s="36">
        <f>VLOOKUP(обед2,таб,25,FALSE)</f>
        <v>0</v>
      </c>
      <c r="Q71" s="35">
        <f>VLOOKUP(обед3,таб,25,FALSE)</f>
        <v>0</v>
      </c>
      <c r="R71" s="36">
        <f>VLOOKUP(обед4,таб,25,FALSE)</f>
        <v>0</v>
      </c>
      <c r="S71" s="35">
        <f>VLOOKUP(обед5,таб,25,FALSE)</f>
        <v>0</v>
      </c>
      <c r="T71" s="36">
        <f>VLOOKUP(обед6,таб,25,FALSE)</f>
        <v>0</v>
      </c>
      <c r="U71" s="35">
        <f>VLOOKUP(обед7,таб,25,FALSE)</f>
        <v>0</v>
      </c>
      <c r="V71" s="88">
        <f>VLOOKUP(обед8,таб,25,FALSE)</f>
        <v>0</v>
      </c>
      <c r="W71" s="37">
        <f>VLOOKUP(полдник1,таб,25,FALSE)</f>
        <v>0</v>
      </c>
      <c r="X71" s="36"/>
      <c r="Y71" s="88">
        <f>VLOOKUP(полдник3,таб,25,FALSE)</f>
        <v>0</v>
      </c>
      <c r="Z71" s="37">
        <f>VLOOKUP(ужин1,таб,25,FALSE)</f>
        <v>0</v>
      </c>
      <c r="AA71" s="35">
        <f>VLOOKUP(ужин2,таб,25,FALSE)</f>
        <v>0</v>
      </c>
      <c r="AB71" s="36">
        <f>VLOOKUP(ужин3,таб,25,FALSE)</f>
        <v>0</v>
      </c>
      <c r="AC71" s="35">
        <f>VLOOKUP(ужин4,таб,25,FALSE)</f>
        <v>0</v>
      </c>
      <c r="AD71" s="36">
        <f>VLOOKUP(ужин5,таб,25,FALSE)</f>
        <v>0</v>
      </c>
      <c r="AE71" s="35">
        <f>VLOOKUP(ужин6,таб,25,FALSE)</f>
        <v>0</v>
      </c>
      <c r="AF71" s="36">
        <f>VLOOKUP(ужин7,таб,25,FALSE)</f>
        <v>0</v>
      </c>
      <c r="AG71" s="88">
        <f>VLOOKUP(ужин8,таб,25,FALSE)</f>
        <v>0</v>
      </c>
      <c r="AH71" s="141">
        <v>613036</v>
      </c>
      <c r="AI71" s="139">
        <f>AK71/сред</f>
        <v>0</v>
      </c>
      <c r="AJ71" s="140"/>
      <c r="AK71" s="143">
        <f>SUM(G72:AG72)</f>
        <v>0</v>
      </c>
      <c r="AL71" s="143"/>
      <c r="AM71" s="131">
        <f>IF(AK71=0,0,Таблиця!Z267)</f>
        <v>0</v>
      </c>
      <c r="AN71" s="129">
        <f>AK71*AM71</f>
        <v>0</v>
      </c>
      <c r="AQ71" s="55"/>
      <c r="AR71">
        <v>71</v>
      </c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</row>
    <row r="72" spans="1:129" ht="31.5" customHeight="1">
      <c r="A72" s="158"/>
      <c r="B72" s="158"/>
      <c r="C72" s="158"/>
      <c r="D72" s="158"/>
      <c r="E72" s="159"/>
      <c r="F72" s="59" t="s">
        <v>96</v>
      </c>
      <c r="G72" s="74">
        <f aca="true" t="shared" si="71" ref="G72:N72">IF(G71=0,"",завтракл*G71/1000)</f>
      </c>
      <c r="H72" s="47">
        <f t="shared" si="71"/>
      </c>
      <c r="I72" s="43"/>
      <c r="J72" s="47">
        <f t="shared" si="71"/>
      </c>
      <c r="K72" s="43">
        <f t="shared" si="71"/>
      </c>
      <c r="L72" s="118">
        <f t="shared" si="71"/>
      </c>
      <c r="M72" s="72">
        <f t="shared" si="71"/>
      </c>
      <c r="N72" s="82">
        <f t="shared" si="71"/>
      </c>
      <c r="O72" s="48">
        <f aca="true" t="shared" si="72" ref="O72:T72">IF(O71=0,"",обідл*O71/1000)</f>
      </c>
      <c r="P72" s="43">
        <f t="shared" si="72"/>
      </c>
      <c r="Q72" s="47">
        <f t="shared" si="72"/>
      </c>
      <c r="R72" s="43">
        <f t="shared" si="72"/>
      </c>
      <c r="S72" s="47">
        <f t="shared" si="72"/>
      </c>
      <c r="T72" s="43">
        <f t="shared" si="72"/>
      </c>
      <c r="U72" s="47">
        <f>IF(U71=0,"",обідл*U71/1000)</f>
      </c>
      <c r="V72" s="85">
        <f>IF(V71=0,"",обідл*V71/1000)</f>
      </c>
      <c r="W72" s="48">
        <f>IF(W71=0,"",полдникл*W71/1000)</f>
      </c>
      <c r="X72" s="43"/>
      <c r="Y72" s="85">
        <f>IF(Y71=0,"",полдникл*Y71/1000)</f>
      </c>
      <c r="Z72" s="48">
        <f aca="true" t="shared" si="73" ref="Z72:AG72">IF(Z71=0,"",ужинл*Z71/1000)</f>
      </c>
      <c r="AA72" s="47">
        <f t="shared" si="73"/>
      </c>
      <c r="AB72" s="43">
        <f t="shared" si="73"/>
      </c>
      <c r="AC72" s="47">
        <f t="shared" si="73"/>
      </c>
      <c r="AD72" s="43">
        <f t="shared" si="73"/>
      </c>
      <c r="AE72" s="47">
        <f t="shared" si="73"/>
      </c>
      <c r="AF72" s="43">
        <f t="shared" si="73"/>
      </c>
      <c r="AG72" s="85">
        <f t="shared" si="73"/>
      </c>
      <c r="AH72" s="142"/>
      <c r="AI72" s="139"/>
      <c r="AJ72" s="140"/>
      <c r="AK72" s="143"/>
      <c r="AL72" s="143"/>
      <c r="AM72" s="132"/>
      <c r="AN72" s="130"/>
      <c r="AQ72" s="55"/>
      <c r="AR72">
        <v>72</v>
      </c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</row>
    <row r="73" spans="1:129" ht="31.5" customHeight="1">
      <c r="A73" s="163" t="s">
        <v>27</v>
      </c>
      <c r="B73" s="163"/>
      <c r="C73" s="163"/>
      <c r="D73" s="163"/>
      <c r="E73" s="164"/>
      <c r="F73" s="64" t="s">
        <v>95</v>
      </c>
      <c r="G73" s="71">
        <f>VLOOKUP(завтрак1,таб,26,FALSE)</f>
        <v>0</v>
      </c>
      <c r="H73" s="32">
        <f>VLOOKUP(завтрак2,таб,26,FALSE)</f>
        <v>0</v>
      </c>
      <c r="I73" s="33"/>
      <c r="J73" s="32">
        <f>VLOOKUP(завтрак4,таб,26,FALSE)</f>
        <v>0</v>
      </c>
      <c r="K73" s="33">
        <f>VLOOKUP(завтрак5,таб,26,FALSE)</f>
        <v>0</v>
      </c>
      <c r="L73" s="120">
        <f>VLOOKUP(завтрак6,таб,26,FALSE)</f>
        <v>0</v>
      </c>
      <c r="M73" s="71">
        <f>VLOOKUP(завтрак7,таб,26,FALSE)</f>
        <v>0</v>
      </c>
      <c r="N73" s="81">
        <f>VLOOKUP(завтрак8,таб,26,FALSE)</f>
        <v>0</v>
      </c>
      <c r="O73" s="34">
        <f>VLOOKUP(обед1,таб,26,FALSE)</f>
        <v>0</v>
      </c>
      <c r="P73" s="33">
        <f>VLOOKUP(обед2,таб,26,FALSE)</f>
        <v>0</v>
      </c>
      <c r="Q73" s="32">
        <f>VLOOKUP(обед3,таб,26,FALSE)</f>
        <v>0</v>
      </c>
      <c r="R73" s="33">
        <f>VLOOKUP(обед4,таб,26,FALSE)</f>
        <v>0</v>
      </c>
      <c r="S73" s="32">
        <f>VLOOKUP(обед5,таб,26,FALSE)</f>
        <v>0</v>
      </c>
      <c r="T73" s="33">
        <f>VLOOKUP(обед6,таб,26,FALSE)</f>
        <v>0</v>
      </c>
      <c r="U73" s="32">
        <f>VLOOKUP(обед7,таб,26,FALSE)</f>
        <v>0</v>
      </c>
      <c r="V73" s="87">
        <f>VLOOKUP(обед8,таб,26,FALSE)</f>
        <v>0</v>
      </c>
      <c r="W73" s="34">
        <f>VLOOKUP(полдник1,таб,26,FALSE)</f>
        <v>0</v>
      </c>
      <c r="X73" s="33"/>
      <c r="Y73" s="87">
        <f>VLOOKUP(полдник3,таб,26,FALSE)</f>
        <v>0</v>
      </c>
      <c r="Z73" s="34">
        <f>VLOOKUP(ужин1,таб,26,FALSE)</f>
        <v>0</v>
      </c>
      <c r="AA73" s="32">
        <f>VLOOKUP(ужин2,таб,26,FALSE)</f>
        <v>0</v>
      </c>
      <c r="AB73" s="33">
        <f>VLOOKUP(ужин3,таб,26,FALSE)</f>
        <v>0</v>
      </c>
      <c r="AC73" s="32">
        <f>VLOOKUP(ужин4,таб,26,FALSE)</f>
        <v>0</v>
      </c>
      <c r="AD73" s="33">
        <f>VLOOKUP(ужин5,таб,26,FALSE)</f>
        <v>0</v>
      </c>
      <c r="AE73" s="32">
        <f>VLOOKUP(ужин6,таб,26,FALSE)</f>
        <v>0</v>
      </c>
      <c r="AF73" s="33">
        <f>VLOOKUP(ужин7,таб,26,FALSE)</f>
        <v>0</v>
      </c>
      <c r="AG73" s="87">
        <f>VLOOKUP(ужин8,таб,26,FALSE)</f>
        <v>0</v>
      </c>
      <c r="AH73" s="141"/>
      <c r="AI73" s="139">
        <f>AK73/сред</f>
        <v>0</v>
      </c>
      <c r="AJ73" s="140"/>
      <c r="AK73" s="143">
        <f>SUM(G74:AG74)</f>
        <v>0</v>
      </c>
      <c r="AL73" s="143"/>
      <c r="AM73" s="131">
        <f>IF(AK73=0,0,Таблиця!AA267)</f>
        <v>0</v>
      </c>
      <c r="AN73" s="129">
        <f>AK73*AM73</f>
        <v>0</v>
      </c>
      <c r="AQ73" s="54"/>
      <c r="AR73">
        <v>73</v>
      </c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</row>
    <row r="74" spans="1:129" ht="31.5" customHeight="1">
      <c r="A74" s="163"/>
      <c r="B74" s="163"/>
      <c r="C74" s="163"/>
      <c r="D74" s="163"/>
      <c r="E74" s="164"/>
      <c r="F74" s="59" t="s">
        <v>96</v>
      </c>
      <c r="G74" s="72">
        <f aca="true" t="shared" si="74" ref="G74:N74">IF(G73=0,"",завтракл*G73/1000)</f>
      </c>
      <c r="H74" s="45">
        <f t="shared" si="74"/>
      </c>
      <c r="I74" s="44"/>
      <c r="J74" s="45">
        <f t="shared" si="74"/>
      </c>
      <c r="K74" s="44">
        <f t="shared" si="74"/>
      </c>
      <c r="L74" s="117">
        <f t="shared" si="74"/>
      </c>
      <c r="M74" s="72">
        <f t="shared" si="74"/>
      </c>
      <c r="N74" s="82">
        <f t="shared" si="74"/>
      </c>
      <c r="O74" s="46">
        <f aca="true" t="shared" si="75" ref="O74:T74">IF(O73=0,"",обідл*O73/1000)</f>
      </c>
      <c r="P74" s="44">
        <f t="shared" si="75"/>
      </c>
      <c r="Q74" s="45">
        <f t="shared" si="75"/>
      </c>
      <c r="R74" s="44">
        <f t="shared" si="75"/>
      </c>
      <c r="S74" s="45">
        <f t="shared" si="75"/>
      </c>
      <c r="T74" s="44">
        <f t="shared" si="75"/>
      </c>
      <c r="U74" s="45">
        <f>IF(U73=0,"",обідл*U73/1000)</f>
      </c>
      <c r="V74" s="82">
        <f>IF(V73=0,"",обідл*V73/1000)</f>
      </c>
      <c r="W74" s="46">
        <f>IF(W73=0,"",полдникл*W73/1000)</f>
      </c>
      <c r="X74" s="44"/>
      <c r="Y74" s="82">
        <f>IF(Y73=0,"",полдникл*Y73/1000)</f>
      </c>
      <c r="Z74" s="46">
        <f aca="true" t="shared" si="76" ref="Z74:AG74">IF(Z73=0,"",ужинл*Z73/1000)</f>
      </c>
      <c r="AA74" s="45">
        <f t="shared" si="76"/>
      </c>
      <c r="AB74" s="44">
        <f t="shared" si="76"/>
      </c>
      <c r="AC74" s="45">
        <f t="shared" si="76"/>
      </c>
      <c r="AD74" s="44">
        <f t="shared" si="76"/>
      </c>
      <c r="AE74" s="45">
        <f t="shared" si="76"/>
      </c>
      <c r="AF74" s="44">
        <f t="shared" si="76"/>
      </c>
      <c r="AG74" s="82">
        <f t="shared" si="76"/>
      </c>
      <c r="AH74" s="142"/>
      <c r="AI74" s="139"/>
      <c r="AJ74" s="140"/>
      <c r="AK74" s="143"/>
      <c r="AL74" s="143"/>
      <c r="AM74" s="132"/>
      <c r="AN74" s="130"/>
      <c r="AQ74" s="55"/>
      <c r="AR74">
        <v>74</v>
      </c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</row>
    <row r="75" spans="1:129" ht="31.5" customHeight="1">
      <c r="A75" s="163" t="s">
        <v>63</v>
      </c>
      <c r="B75" s="163"/>
      <c r="C75" s="163"/>
      <c r="D75" s="163"/>
      <c r="E75" s="164"/>
      <c r="F75" s="64" t="s">
        <v>95</v>
      </c>
      <c r="G75" s="71">
        <f>VLOOKUP(завтрак1,таб,73,FALSE)</f>
        <v>0</v>
      </c>
      <c r="H75" s="32">
        <f>VLOOKUP(завтрак2,таб,73,FALSE)</f>
        <v>0</v>
      </c>
      <c r="I75" s="33"/>
      <c r="J75" s="32">
        <f>VLOOKUP(завтрак4,таб,73,FALSE)</f>
        <v>0</v>
      </c>
      <c r="K75" s="33">
        <f>VLOOKUP(завтрак5,таб,73,FALSE)</f>
        <v>0</v>
      </c>
      <c r="L75" s="120">
        <f>VLOOKUP(завтрак6,таб,73,FALSE)</f>
        <v>0</v>
      </c>
      <c r="M75" s="71">
        <f>VLOOKUP(завтрак7,таб,73,FALSE)</f>
        <v>0</v>
      </c>
      <c r="N75" s="81">
        <f>VLOOKUP(завтрак8,таб,73,FALSE)</f>
        <v>0</v>
      </c>
      <c r="O75" s="34">
        <f>VLOOKUP(обед1,таб,73,FALSE)</f>
        <v>0</v>
      </c>
      <c r="P75" s="33">
        <f>VLOOKUP(обед2,таб,73,FALSE)</f>
        <v>0</v>
      </c>
      <c r="Q75" s="32">
        <f>VLOOKUP(обед3,таб,73,FALSE)</f>
        <v>0</v>
      </c>
      <c r="R75" s="33">
        <f>VLOOKUP(обед4,таб,73,FALSE)</f>
        <v>0</v>
      </c>
      <c r="S75" s="32">
        <f>VLOOKUP(обед5,таб,73,FALSE)</f>
        <v>0</v>
      </c>
      <c r="T75" s="33">
        <f>VLOOKUP(обед6,таб,73,FALSE)</f>
        <v>0</v>
      </c>
      <c r="U75" s="32">
        <f>VLOOKUP(обед7,таб,73,FALSE)</f>
        <v>0</v>
      </c>
      <c r="V75" s="87">
        <f>VLOOKUP(обед8,таб,73,FALSE)</f>
        <v>0</v>
      </c>
      <c r="W75" s="34">
        <f>VLOOKUP(полдник1,таб,73,FALSE)</f>
        <v>0</v>
      </c>
      <c r="X75" s="33"/>
      <c r="Y75" s="87">
        <f>VLOOKUP(полдник3,таб,73,FALSE)</f>
        <v>0</v>
      </c>
      <c r="Z75" s="34">
        <f>VLOOKUP(ужин1,таб,73,FALSE)</f>
        <v>0</v>
      </c>
      <c r="AA75" s="32">
        <f>VLOOKUP(ужин2,таб,73,FALSE)</f>
        <v>0</v>
      </c>
      <c r="AB75" s="33">
        <f>VLOOKUP(ужин3,таб,73,FALSE)</f>
        <v>0</v>
      </c>
      <c r="AC75" s="32">
        <f>VLOOKUP(ужин4,таб,73,FALSE)</f>
        <v>0</v>
      </c>
      <c r="AD75" s="33">
        <f>VLOOKUP(ужин5,таб,73,FALSE)</f>
        <v>0</v>
      </c>
      <c r="AE75" s="32">
        <f>VLOOKUP(ужин6,таб,73,FALSE)</f>
        <v>0</v>
      </c>
      <c r="AF75" s="33">
        <f>VLOOKUP(ужин7,таб,73,FALSE)</f>
        <v>0</v>
      </c>
      <c r="AG75" s="87">
        <f>VLOOKUP(ужин8,таб,73,FALSE)</f>
        <v>0</v>
      </c>
      <c r="AH75" s="141"/>
      <c r="AI75" s="139">
        <f>AK75/сред</f>
        <v>0</v>
      </c>
      <c r="AJ75" s="140"/>
      <c r="AK75" s="143">
        <f>SUM(G76:AG76)</f>
        <v>0</v>
      </c>
      <c r="AL75" s="143"/>
      <c r="AM75" s="131">
        <f>IF(AK75=0,0,Таблиця!BV267)</f>
        <v>0</v>
      </c>
      <c r="AN75" s="129">
        <f>AK75*AM75</f>
        <v>0</v>
      </c>
      <c r="AQ75" s="55"/>
      <c r="AR75">
        <v>75</v>
      </c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</row>
    <row r="76" spans="1:129" ht="31.5" customHeight="1">
      <c r="A76" s="163"/>
      <c r="B76" s="163"/>
      <c r="C76" s="163"/>
      <c r="D76" s="163"/>
      <c r="E76" s="164"/>
      <c r="F76" s="59" t="s">
        <v>96</v>
      </c>
      <c r="G76" s="72">
        <f aca="true" t="shared" si="77" ref="G76:N76">IF(G75=0,"",завтракл*G75/1000)</f>
      </c>
      <c r="H76" s="45">
        <f t="shared" si="77"/>
      </c>
      <c r="I76" s="44"/>
      <c r="J76" s="45">
        <f t="shared" si="77"/>
      </c>
      <c r="K76" s="44">
        <f t="shared" si="77"/>
      </c>
      <c r="L76" s="117">
        <f t="shared" si="77"/>
      </c>
      <c r="M76" s="72">
        <f t="shared" si="77"/>
      </c>
      <c r="N76" s="82">
        <f t="shared" si="77"/>
      </c>
      <c r="O76" s="46">
        <f aca="true" t="shared" si="78" ref="O76:T76">IF(O75=0,"",обідл*O75/1000)</f>
      </c>
      <c r="P76" s="44">
        <f t="shared" si="78"/>
      </c>
      <c r="Q76" s="45">
        <f t="shared" si="78"/>
      </c>
      <c r="R76" s="44">
        <f t="shared" si="78"/>
      </c>
      <c r="S76" s="45">
        <f t="shared" si="78"/>
      </c>
      <c r="T76" s="44">
        <f t="shared" si="78"/>
      </c>
      <c r="U76" s="45">
        <f>IF(U75=0,"",обідл*U75/1000)</f>
      </c>
      <c r="V76" s="82">
        <f>IF(V75=0,"",обідл*V75/1000)</f>
      </c>
      <c r="W76" s="46">
        <f>IF(W75=0,"",полдникл*W75/1000)</f>
      </c>
      <c r="X76" s="44"/>
      <c r="Y76" s="82">
        <f>IF(Y75=0,"",полдникл*Y75/1000)</f>
      </c>
      <c r="Z76" s="46">
        <f aca="true" t="shared" si="79" ref="Z76:AG76">IF(Z75=0,"",ужинл*Z75/1000)</f>
      </c>
      <c r="AA76" s="45">
        <f t="shared" si="79"/>
      </c>
      <c r="AB76" s="44">
        <f t="shared" si="79"/>
      </c>
      <c r="AC76" s="45">
        <f t="shared" si="79"/>
      </c>
      <c r="AD76" s="44">
        <f t="shared" si="79"/>
      </c>
      <c r="AE76" s="45">
        <f t="shared" si="79"/>
      </c>
      <c r="AF76" s="44">
        <f t="shared" si="79"/>
      </c>
      <c r="AG76" s="82">
        <f t="shared" si="79"/>
      </c>
      <c r="AH76" s="142"/>
      <c r="AI76" s="139"/>
      <c r="AJ76" s="140"/>
      <c r="AK76" s="143"/>
      <c r="AL76" s="143"/>
      <c r="AM76" s="132"/>
      <c r="AN76" s="130"/>
      <c r="AQ76" s="55"/>
      <c r="AR76">
        <v>76</v>
      </c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</row>
    <row r="77" spans="1:129" ht="31.5" customHeight="1">
      <c r="A77" s="156" t="s">
        <v>64</v>
      </c>
      <c r="B77" s="156"/>
      <c r="C77" s="156"/>
      <c r="D77" s="156"/>
      <c r="E77" s="157"/>
      <c r="F77" s="64" t="s">
        <v>95</v>
      </c>
      <c r="G77" s="73">
        <f>VLOOKUP(завтрак1,таб,72,FALSE)</f>
        <v>0</v>
      </c>
      <c r="H77" s="35">
        <f>VLOOKUP(завтрак2,таб,72,FALSE)</f>
        <v>0</v>
      </c>
      <c r="I77" s="36"/>
      <c r="J77" s="35">
        <f>VLOOKUP(завтрак4,таб,72,FALSE)</f>
        <v>0</v>
      </c>
      <c r="K77" s="36">
        <f>VLOOKUP(завтрак5,таб,72,FALSE)</f>
        <v>0</v>
      </c>
      <c r="L77" s="121">
        <f>VLOOKUP(завтрак6,таб,72,FALSE)</f>
        <v>0</v>
      </c>
      <c r="M77" s="71">
        <f>VLOOKUP(завтрак7,таб,72,FALSE)</f>
        <v>0</v>
      </c>
      <c r="N77" s="81">
        <f>VLOOKUP(завтрак8,таб,72,FALSE)</f>
        <v>0</v>
      </c>
      <c r="O77" s="37">
        <f>VLOOKUP(обед1,таб,72,FALSE)</f>
        <v>0</v>
      </c>
      <c r="P77" s="36">
        <f>VLOOKUP(обед2,таб,72,FALSE)</f>
        <v>0</v>
      </c>
      <c r="Q77" s="35">
        <f>VLOOKUP(обед3,таб,72,FALSE)</f>
        <v>0</v>
      </c>
      <c r="R77" s="36">
        <f>VLOOKUP(обед4,таб,72,FALSE)</f>
        <v>0</v>
      </c>
      <c r="S77" s="35">
        <f>VLOOKUP(обед5,таб,72,FALSE)</f>
        <v>0</v>
      </c>
      <c r="T77" s="36">
        <f>VLOOKUP(обед6,таб,72,FALSE)</f>
        <v>0</v>
      </c>
      <c r="U77" s="35">
        <f>VLOOKUP(обед7,таб,72,FALSE)</f>
        <v>0</v>
      </c>
      <c r="V77" s="88">
        <f>VLOOKUP(обед8,таб,72,FALSE)</f>
        <v>0</v>
      </c>
      <c r="W77" s="37">
        <f>VLOOKUP(полдник1,таб,72,FALSE)</f>
        <v>0</v>
      </c>
      <c r="X77" s="36"/>
      <c r="Y77" s="88">
        <f>VLOOKUP(полдник3,таб,72,FALSE)</f>
        <v>0</v>
      </c>
      <c r="Z77" s="37">
        <f>VLOOKUP(ужин1,таб,72,FALSE)</f>
        <v>0</v>
      </c>
      <c r="AA77" s="35">
        <f>VLOOKUP(ужин2,таб,72,FALSE)</f>
        <v>0</v>
      </c>
      <c r="AB77" s="36">
        <f>VLOOKUP(ужин3,таб,72,FALSE)</f>
        <v>0</v>
      </c>
      <c r="AC77" s="35">
        <f>VLOOKUP(ужин4,таб,72,FALSE)</f>
        <v>0</v>
      </c>
      <c r="AD77" s="36">
        <f>VLOOKUP(ужин5,таб,72,FALSE)</f>
        <v>0</v>
      </c>
      <c r="AE77" s="35">
        <f>VLOOKUP(ужин6,таб,72,FALSE)</f>
        <v>0</v>
      </c>
      <c r="AF77" s="36">
        <f>VLOOKUP(ужин7,таб,72,FALSE)</f>
        <v>0</v>
      </c>
      <c r="AG77" s="88">
        <f>VLOOKUP(ужин8,таб,72,FALSE)</f>
        <v>0</v>
      </c>
      <c r="AH77" s="141"/>
      <c r="AI77" s="139">
        <f>AK77/сред</f>
        <v>0</v>
      </c>
      <c r="AJ77" s="140"/>
      <c r="AK77" s="143">
        <f>SUM(G78:AG78)</f>
        <v>0</v>
      </c>
      <c r="AL77" s="143"/>
      <c r="AM77" s="131">
        <f>IF(AK77=0,0,Таблиця!BU267)</f>
        <v>0</v>
      </c>
      <c r="AN77" s="129">
        <f>AK77*AM77</f>
        <v>0</v>
      </c>
      <c r="AQ77" s="55"/>
      <c r="AR77">
        <v>77</v>
      </c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</row>
    <row r="78" spans="1:129" ht="31.5" customHeight="1">
      <c r="A78" s="158"/>
      <c r="B78" s="158"/>
      <c r="C78" s="158"/>
      <c r="D78" s="158"/>
      <c r="E78" s="159"/>
      <c r="F78" s="59" t="s">
        <v>96</v>
      </c>
      <c r="G78" s="74">
        <f aca="true" t="shared" si="80" ref="G78:N78">IF(G77=0,"",завтракл*G77/1000)</f>
      </c>
      <c r="H78" s="47">
        <f t="shared" si="80"/>
      </c>
      <c r="I78" s="43"/>
      <c r="J78" s="47">
        <f t="shared" si="80"/>
      </c>
      <c r="K78" s="43">
        <f t="shared" si="80"/>
      </c>
      <c r="L78" s="118">
        <f t="shared" si="80"/>
      </c>
      <c r="M78" s="72">
        <f t="shared" si="80"/>
      </c>
      <c r="N78" s="82">
        <f t="shared" si="80"/>
      </c>
      <c r="O78" s="48">
        <f aca="true" t="shared" si="81" ref="O78:T78">IF(O77=0,"",обідл*O77/1000)</f>
      </c>
      <c r="P78" s="43">
        <f t="shared" si="81"/>
      </c>
      <c r="Q78" s="47">
        <f t="shared" si="81"/>
      </c>
      <c r="R78" s="43">
        <f t="shared" si="81"/>
      </c>
      <c r="S78" s="47">
        <f t="shared" si="81"/>
      </c>
      <c r="T78" s="43">
        <f t="shared" si="81"/>
      </c>
      <c r="U78" s="47">
        <f>IF(U77=0,"",обідл*U77/1000)</f>
      </c>
      <c r="V78" s="85">
        <f>IF(V77=0,"",обідл*V77/1000)</f>
      </c>
      <c r="W78" s="48">
        <f>IF(W77=0,"",полдникл*W77/1000)</f>
      </c>
      <c r="X78" s="43"/>
      <c r="Y78" s="85">
        <f>IF(Y77=0,"",полдникл*Y77/1000)</f>
      </c>
      <c r="Z78" s="48">
        <f aca="true" t="shared" si="82" ref="Z78:AG78">IF(Z77=0,"",ужинл*Z77/1000)</f>
      </c>
      <c r="AA78" s="47">
        <f t="shared" si="82"/>
      </c>
      <c r="AB78" s="43">
        <f t="shared" si="82"/>
      </c>
      <c r="AC78" s="47">
        <f t="shared" si="82"/>
      </c>
      <c r="AD78" s="43">
        <f t="shared" si="82"/>
      </c>
      <c r="AE78" s="47">
        <f t="shared" si="82"/>
      </c>
      <c r="AF78" s="43">
        <f t="shared" si="82"/>
      </c>
      <c r="AG78" s="85">
        <f t="shared" si="82"/>
      </c>
      <c r="AH78" s="142"/>
      <c r="AI78" s="139"/>
      <c r="AJ78" s="140"/>
      <c r="AK78" s="143"/>
      <c r="AL78" s="143"/>
      <c r="AM78" s="132"/>
      <c r="AN78" s="130"/>
      <c r="AQ78" s="55"/>
      <c r="AR78">
        <v>78</v>
      </c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</row>
    <row r="79" spans="1:129" ht="31.5" customHeight="1">
      <c r="A79" s="163" t="s">
        <v>65</v>
      </c>
      <c r="B79" s="163"/>
      <c r="C79" s="163"/>
      <c r="D79" s="163"/>
      <c r="E79" s="164"/>
      <c r="F79" s="64" t="s">
        <v>95</v>
      </c>
      <c r="G79" s="71">
        <f>VLOOKUP(завтрак1,таб,74,FALSE)</f>
        <v>0</v>
      </c>
      <c r="H79" s="32">
        <f>VLOOKUP(завтрак2,таб,74,FALSE)</f>
        <v>0</v>
      </c>
      <c r="I79" s="33"/>
      <c r="J79" s="32">
        <f>VLOOKUP(завтрак4,таб,74,FALSE)</f>
        <v>0</v>
      </c>
      <c r="K79" s="33">
        <f>VLOOKUP(завтрак5,таб,74,FALSE)</f>
        <v>0</v>
      </c>
      <c r="L79" s="120">
        <f>VLOOKUP(завтрак6,таб,74,FALSE)</f>
        <v>0</v>
      </c>
      <c r="M79" s="71">
        <f>VLOOKUP(завтрак7,таб,74,FALSE)</f>
        <v>0</v>
      </c>
      <c r="N79" s="81">
        <f>VLOOKUP(завтрак8,таб,74,FALSE)</f>
        <v>0</v>
      </c>
      <c r="O79" s="34">
        <f>VLOOKUP(обед1,таб,74,FALSE)</f>
        <v>0</v>
      </c>
      <c r="P79" s="33">
        <f>VLOOKUP(обед2,таб,74,FALSE)</f>
        <v>0</v>
      </c>
      <c r="Q79" s="32">
        <f>VLOOKUP(обед3,таб,74,FALSE)</f>
        <v>0</v>
      </c>
      <c r="R79" s="33">
        <f>VLOOKUP(обед4,таб,74,FALSE)</f>
        <v>0</v>
      </c>
      <c r="S79" s="32">
        <f>VLOOKUP(обед5,таб,74,FALSE)</f>
        <v>0</v>
      </c>
      <c r="T79" s="33">
        <f>VLOOKUP(обед6,таб,74,FALSE)</f>
        <v>0</v>
      </c>
      <c r="U79" s="32">
        <f>VLOOKUP(обед7,таб,74,FALSE)</f>
        <v>0</v>
      </c>
      <c r="V79" s="87">
        <f>VLOOKUP(обед8,таб,74,FALSE)</f>
        <v>0</v>
      </c>
      <c r="W79" s="34">
        <f>VLOOKUP(полдник1,таб,74,FALSE)</f>
        <v>0</v>
      </c>
      <c r="X79" s="33"/>
      <c r="Y79" s="87">
        <f>VLOOKUP(полдник3,таб,74,FALSE)</f>
        <v>0</v>
      </c>
      <c r="Z79" s="34">
        <f>VLOOKUP(ужин1,таб,74,FALSE)</f>
        <v>0</v>
      </c>
      <c r="AA79" s="32">
        <f>VLOOKUP(ужин2,таб,74,FALSE)</f>
        <v>0</v>
      </c>
      <c r="AB79" s="33">
        <f>VLOOKUP(ужин3,таб,74,FALSE)</f>
        <v>0</v>
      </c>
      <c r="AC79" s="32">
        <f>VLOOKUP(ужин4,таб,74,FALSE)</f>
        <v>0</v>
      </c>
      <c r="AD79" s="33">
        <f>VLOOKUP(ужин5,таб,74,FALSE)</f>
        <v>0</v>
      </c>
      <c r="AE79" s="32">
        <f>VLOOKUP(ужин6,таб,74,FALSE)</f>
        <v>0</v>
      </c>
      <c r="AF79" s="33">
        <f>VLOOKUP(ужин7,таб,74,FALSE)</f>
        <v>0</v>
      </c>
      <c r="AG79" s="87">
        <f>VLOOKUP(ужин8,таб,74,FALSE)</f>
        <v>0</v>
      </c>
      <c r="AH79" s="141">
        <v>613052</v>
      </c>
      <c r="AI79" s="139">
        <f>AK79/сред</f>
        <v>0</v>
      </c>
      <c r="AJ79" s="140"/>
      <c r="AK79" s="143">
        <f>SUM(G80:AG80)</f>
        <v>0</v>
      </c>
      <c r="AL79" s="143"/>
      <c r="AM79" s="131">
        <f>IF(AK79=0,0,Таблиця!BW267)</f>
        <v>0</v>
      </c>
      <c r="AN79" s="129">
        <f>AK79*AM79</f>
        <v>0</v>
      </c>
      <c r="AQ79" s="54"/>
      <c r="AR79">
        <v>79</v>
      </c>
      <c r="DE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</row>
    <row r="80" spans="1:129" ht="31.5" customHeight="1">
      <c r="A80" s="163"/>
      <c r="B80" s="163"/>
      <c r="C80" s="163"/>
      <c r="D80" s="163"/>
      <c r="E80" s="164"/>
      <c r="F80" s="59" t="s">
        <v>96</v>
      </c>
      <c r="G80" s="72">
        <f aca="true" t="shared" si="83" ref="G80:N80">IF(G79=0,"",завтракл*G79/1000)</f>
      </c>
      <c r="H80" s="45">
        <f t="shared" si="83"/>
      </c>
      <c r="I80" s="44"/>
      <c r="J80" s="45">
        <f t="shared" si="83"/>
      </c>
      <c r="K80" s="44">
        <f t="shared" si="83"/>
      </c>
      <c r="L80" s="117">
        <f t="shared" si="83"/>
      </c>
      <c r="M80" s="72">
        <f t="shared" si="83"/>
      </c>
      <c r="N80" s="82">
        <f t="shared" si="83"/>
      </c>
      <c r="O80" s="46">
        <f aca="true" t="shared" si="84" ref="O80:T80">IF(O79=0,"",обідл*O79/1000)</f>
      </c>
      <c r="P80" s="44">
        <f t="shared" si="84"/>
      </c>
      <c r="Q80" s="45">
        <f t="shared" si="84"/>
      </c>
      <c r="R80" s="44">
        <f t="shared" si="84"/>
      </c>
      <c r="S80" s="45">
        <f t="shared" si="84"/>
      </c>
      <c r="T80" s="44">
        <f t="shared" si="84"/>
      </c>
      <c r="U80" s="45">
        <f>IF(U79=0,"",обідл*U79/1000)</f>
      </c>
      <c r="V80" s="82">
        <f>IF(V79=0,"",обідл*V79/1000)</f>
      </c>
      <c r="W80" s="46">
        <f>IF(W79=0,"",полдникл*W79/1000)</f>
      </c>
      <c r="X80" s="44"/>
      <c r="Y80" s="82">
        <f>IF(Y79=0,"",полдникл*Y79/1000)</f>
      </c>
      <c r="Z80" s="46">
        <f aca="true" t="shared" si="85" ref="Z80:AG80">IF(Z79=0,"",ужинл*Z79/1000)</f>
      </c>
      <c r="AA80" s="45">
        <f t="shared" si="85"/>
      </c>
      <c r="AB80" s="44">
        <f t="shared" si="85"/>
      </c>
      <c r="AC80" s="45">
        <f t="shared" si="85"/>
      </c>
      <c r="AD80" s="44">
        <f t="shared" si="85"/>
      </c>
      <c r="AE80" s="45">
        <f t="shared" si="85"/>
      </c>
      <c r="AF80" s="44">
        <f t="shared" si="85"/>
      </c>
      <c r="AG80" s="82">
        <f t="shared" si="85"/>
      </c>
      <c r="AH80" s="142"/>
      <c r="AI80" s="139"/>
      <c r="AJ80" s="140"/>
      <c r="AK80" s="143"/>
      <c r="AL80" s="143"/>
      <c r="AM80" s="132"/>
      <c r="AN80" s="130"/>
      <c r="AQ80" s="55"/>
      <c r="AR80">
        <v>80</v>
      </c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</row>
    <row r="81" spans="1:129" ht="31.5" customHeight="1">
      <c r="A81" s="156" t="s">
        <v>24</v>
      </c>
      <c r="B81" s="156"/>
      <c r="C81" s="156"/>
      <c r="D81" s="156"/>
      <c r="E81" s="157"/>
      <c r="F81" s="64" t="s">
        <v>95</v>
      </c>
      <c r="G81" s="73">
        <f>VLOOKUP(завтрак1,таб,27,FALSE)</f>
        <v>0</v>
      </c>
      <c r="H81" s="35">
        <f>VLOOKUP(завтрак2,таб,27,FALSE)</f>
        <v>0</v>
      </c>
      <c r="I81" s="36"/>
      <c r="J81" s="35">
        <f>VLOOKUP(завтрак4,таб,27,FALSE)</f>
        <v>0</v>
      </c>
      <c r="K81" s="36">
        <f>VLOOKUP(завтрак5,таб,27,FALSE)</f>
        <v>0</v>
      </c>
      <c r="L81" s="121">
        <f>VLOOKUP(завтрак6,таб,27,FALSE)</f>
        <v>0</v>
      </c>
      <c r="M81" s="71">
        <f>VLOOKUP(завтрак7,таб,27,FALSE)</f>
        <v>0</v>
      </c>
      <c r="N81" s="81">
        <f>VLOOKUP(завтрак8,таб,27,FALSE)</f>
        <v>0</v>
      </c>
      <c r="O81" s="37">
        <f>VLOOKUP(обед1,таб,27,FALSE)</f>
        <v>0</v>
      </c>
      <c r="P81" s="36">
        <f>VLOOKUP(обед2,таб,27,FALSE)</f>
        <v>0</v>
      </c>
      <c r="Q81" s="35">
        <f>VLOOKUP(обед3,таб,27,FALSE)</f>
        <v>0</v>
      </c>
      <c r="R81" s="36">
        <f>VLOOKUP(обед4,таб,27,FALSE)</f>
        <v>0</v>
      </c>
      <c r="S81" s="35">
        <f>VLOOKUP(обед5,таб,27,FALSE)</f>
        <v>0</v>
      </c>
      <c r="T81" s="36">
        <f>VLOOKUP(обед6,таб,27,FALSE)</f>
        <v>0</v>
      </c>
      <c r="U81" s="35">
        <f>VLOOKUP(обед7,таб,27,FALSE)</f>
        <v>0</v>
      </c>
      <c r="V81" s="88">
        <f>VLOOKUP(обед8,таб,27,FALSE)</f>
        <v>0</v>
      </c>
      <c r="W81" s="37">
        <f>VLOOKUP(полдник1,таб,27,FALSE)</f>
        <v>0</v>
      </c>
      <c r="X81" s="36"/>
      <c r="Y81" s="88">
        <f>VLOOKUP(полдник3,таб,27,FALSE)</f>
        <v>0</v>
      </c>
      <c r="Z81" s="37">
        <f>VLOOKUP(ужин1,таб,27,FALSE)</f>
        <v>0</v>
      </c>
      <c r="AA81" s="35">
        <f>VLOOKUP(ужин2,таб,27,FALSE)</f>
        <v>0</v>
      </c>
      <c r="AB81" s="36">
        <f>VLOOKUP(ужин3,таб,27,FALSE)</f>
        <v>0</v>
      </c>
      <c r="AC81" s="35">
        <f>VLOOKUP(ужин4,таб,27,FALSE)</f>
        <v>0</v>
      </c>
      <c r="AD81" s="36">
        <f>VLOOKUP(ужин5,таб,27,FALSE)</f>
        <v>0</v>
      </c>
      <c r="AE81" s="35">
        <f>VLOOKUP(ужин6,таб,27,FALSE)</f>
        <v>0</v>
      </c>
      <c r="AF81" s="36">
        <f>VLOOKUP(ужин7,таб,27,FALSE)</f>
        <v>0</v>
      </c>
      <c r="AG81" s="88">
        <f>VLOOKUP(ужин8,таб,27,FALSE)</f>
        <v>0</v>
      </c>
      <c r="AH81" s="141">
        <v>603015</v>
      </c>
      <c r="AI81" s="139">
        <f>AK81/сред</f>
        <v>0</v>
      </c>
      <c r="AJ81" s="140"/>
      <c r="AK81" s="143">
        <f>SUM(G82:AG82)</f>
        <v>0</v>
      </c>
      <c r="AL81" s="143"/>
      <c r="AM81" s="131">
        <f>IF(AK81=0,0,Таблиця!AB267)</f>
        <v>0</v>
      </c>
      <c r="AN81" s="129">
        <f>AK81*AM81</f>
        <v>0</v>
      </c>
      <c r="AQ81" s="55"/>
      <c r="AR81">
        <v>81</v>
      </c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</row>
    <row r="82" spans="1:129" ht="31.5" customHeight="1">
      <c r="A82" s="158"/>
      <c r="B82" s="158"/>
      <c r="C82" s="158"/>
      <c r="D82" s="158"/>
      <c r="E82" s="159"/>
      <c r="F82" s="59" t="s">
        <v>96</v>
      </c>
      <c r="G82" s="74">
        <f aca="true" t="shared" si="86" ref="G82:N82">IF(G81=0,"",завтракл*G81/1000)</f>
      </c>
      <c r="H82" s="47">
        <f t="shared" si="86"/>
      </c>
      <c r="I82" s="43"/>
      <c r="J82" s="47">
        <f t="shared" si="86"/>
      </c>
      <c r="K82" s="43">
        <f t="shared" si="86"/>
      </c>
      <c r="L82" s="118">
        <f t="shared" si="86"/>
      </c>
      <c r="M82" s="72">
        <f t="shared" si="86"/>
      </c>
      <c r="N82" s="82">
        <f t="shared" si="86"/>
      </c>
      <c r="O82" s="48">
        <f aca="true" t="shared" si="87" ref="O82:T82">IF(O81=0,"",обідл*O81/1000)</f>
      </c>
      <c r="P82" s="43">
        <f t="shared" si="87"/>
      </c>
      <c r="Q82" s="47">
        <f t="shared" si="87"/>
      </c>
      <c r="R82" s="43">
        <f t="shared" si="87"/>
      </c>
      <c r="S82" s="47">
        <f t="shared" si="87"/>
      </c>
      <c r="T82" s="43">
        <f t="shared" si="87"/>
      </c>
      <c r="U82" s="47">
        <f>IF(U81=0,"",обідл*U81/1000)</f>
      </c>
      <c r="V82" s="85">
        <f>IF(V81=0,"",обідл*V81/1000)</f>
      </c>
      <c r="W82" s="48">
        <f>IF(W81=0,"",полдникл*W81/1000)</f>
      </c>
      <c r="X82" s="43"/>
      <c r="Y82" s="85">
        <f>IF(Y81=0,"",полдникл*Y81/1000)</f>
      </c>
      <c r="Z82" s="48">
        <f aca="true" t="shared" si="88" ref="Z82:AG82">IF(Z81=0,"",ужинл*Z81/1000)</f>
      </c>
      <c r="AA82" s="47">
        <f t="shared" si="88"/>
      </c>
      <c r="AB82" s="43">
        <f t="shared" si="88"/>
      </c>
      <c r="AC82" s="47">
        <f t="shared" si="88"/>
      </c>
      <c r="AD82" s="43">
        <f t="shared" si="88"/>
      </c>
      <c r="AE82" s="47">
        <f t="shared" si="88"/>
      </c>
      <c r="AF82" s="43">
        <f t="shared" si="88"/>
      </c>
      <c r="AG82" s="85">
        <f t="shared" si="88"/>
      </c>
      <c r="AH82" s="142"/>
      <c r="AI82" s="139"/>
      <c r="AJ82" s="140"/>
      <c r="AK82" s="143"/>
      <c r="AL82" s="143"/>
      <c r="AM82" s="132"/>
      <c r="AN82" s="130"/>
      <c r="AQ82" s="55"/>
      <c r="AR82">
        <v>82</v>
      </c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</row>
    <row r="83" spans="1:129" ht="31.5" customHeight="1">
      <c r="A83" s="163" t="s">
        <v>26</v>
      </c>
      <c r="B83" s="163"/>
      <c r="C83" s="163"/>
      <c r="D83" s="163"/>
      <c r="E83" s="164"/>
      <c r="F83" s="64" t="s">
        <v>95</v>
      </c>
      <c r="G83" s="71">
        <f>VLOOKUP(завтрак1,таб,28,FALSE)</f>
        <v>0</v>
      </c>
      <c r="H83" s="32">
        <f>VLOOKUP(завтрак2,таб,28,FALSE)</f>
        <v>36.7</v>
      </c>
      <c r="I83" s="33"/>
      <c r="J83" s="32">
        <f>VLOOKUP(завтрак4,таб,28,FALSE)</f>
        <v>0</v>
      </c>
      <c r="K83" s="33">
        <f>VLOOKUP(завтрак5,таб,28,FALSE)</f>
        <v>0</v>
      </c>
      <c r="L83" s="120">
        <f>VLOOKUP(завтрак6,таб,28,FALSE)</f>
        <v>0</v>
      </c>
      <c r="M83" s="71">
        <f>VLOOKUP(завтрак7,таб,28,FALSE)</f>
        <v>0</v>
      </c>
      <c r="N83" s="81">
        <f>VLOOKUP(завтрак8,таб,28,FALSE)</f>
        <v>0</v>
      </c>
      <c r="O83" s="34">
        <f>VLOOKUP(обед1,таб,28,FALSE)</f>
        <v>0</v>
      </c>
      <c r="P83" s="33">
        <f>VLOOKUP(обед2,таб,28,FALSE)</f>
        <v>0</v>
      </c>
      <c r="Q83" s="32">
        <f>VLOOKUP(обед3,таб,28,FALSE)</f>
        <v>0</v>
      </c>
      <c r="R83" s="33">
        <f>VLOOKUP(обед4,таб,28,FALSE)</f>
        <v>0</v>
      </c>
      <c r="S83" s="32">
        <f>VLOOKUP(обед5,таб,28,FALSE)</f>
        <v>0</v>
      </c>
      <c r="T83" s="33">
        <f>VLOOKUP(обед6,таб,28,FALSE)</f>
        <v>0</v>
      </c>
      <c r="U83" s="32">
        <f>VLOOKUP(обед7,таб,28,FALSE)</f>
        <v>0</v>
      </c>
      <c r="V83" s="87">
        <f>VLOOKUP(обед8,таб,28,FALSE)</f>
        <v>0</v>
      </c>
      <c r="W83" s="34">
        <f>VLOOKUP(полдник1,таб,28,FALSE)</f>
        <v>0</v>
      </c>
      <c r="X83" s="33"/>
      <c r="Y83" s="87">
        <f>VLOOKUP(полдник3,таб,28,FALSE)</f>
        <v>0</v>
      </c>
      <c r="Z83" s="34">
        <f>VLOOKUP(ужин1,таб,28,FALSE)</f>
        <v>0</v>
      </c>
      <c r="AA83" s="32">
        <f>VLOOKUP(ужин2,таб,28,FALSE)</f>
        <v>0</v>
      </c>
      <c r="AB83" s="33">
        <f>VLOOKUP(ужин3,таб,28,FALSE)</f>
        <v>0</v>
      </c>
      <c r="AC83" s="32">
        <f>VLOOKUP(ужин4,таб,28,FALSE)</f>
        <v>0</v>
      </c>
      <c r="AD83" s="33">
        <f>VLOOKUP(ужин5,таб,28,FALSE)</f>
        <v>0</v>
      </c>
      <c r="AE83" s="32">
        <f>VLOOKUP(ужин6,таб,28,FALSE)</f>
        <v>0</v>
      </c>
      <c r="AF83" s="33">
        <f>VLOOKUP(ужин7,таб,28,FALSE)</f>
        <v>0</v>
      </c>
      <c r="AG83" s="87">
        <f>VLOOKUP(ужин8,таб,28,FALSE)</f>
        <v>0</v>
      </c>
      <c r="AH83" s="141">
        <v>613046</v>
      </c>
      <c r="AI83" s="139">
        <f>AK83/сред</f>
        <v>0.036699999999999997</v>
      </c>
      <c r="AJ83" s="140"/>
      <c r="AK83" s="143">
        <f>SUM(G84:AG84)</f>
        <v>0.734</v>
      </c>
      <c r="AL83" s="143"/>
      <c r="AM83" s="131">
        <f>IF(AK83=0,0,Таблиця!AC267)</f>
        <v>28.1</v>
      </c>
      <c r="AN83" s="129">
        <f>AK83*AM83</f>
        <v>20.6254</v>
      </c>
      <c r="AQ83" s="55"/>
      <c r="AR83">
        <v>83</v>
      </c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</row>
    <row r="84" spans="1:129" ht="31.5" customHeight="1">
      <c r="A84" s="163"/>
      <c r="B84" s="163"/>
      <c r="C84" s="163"/>
      <c r="D84" s="163"/>
      <c r="E84" s="164"/>
      <c r="F84" s="59" t="s">
        <v>96</v>
      </c>
      <c r="G84" s="72">
        <f aca="true" t="shared" si="89" ref="G84:N84">IF(G83=0,"",завтракл*G83/1000)</f>
      </c>
      <c r="H84" s="45">
        <f t="shared" si="89"/>
        <v>0.734</v>
      </c>
      <c r="I84" s="44"/>
      <c r="J84" s="45">
        <f t="shared" si="89"/>
      </c>
      <c r="K84" s="44">
        <f t="shared" si="89"/>
      </c>
      <c r="L84" s="117">
        <f t="shared" si="89"/>
      </c>
      <c r="M84" s="72">
        <f t="shared" si="89"/>
      </c>
      <c r="N84" s="82">
        <f t="shared" si="89"/>
      </c>
      <c r="O84" s="46">
        <f aca="true" t="shared" si="90" ref="O84:T84">IF(O83=0,"",обідл*O83/1000)</f>
      </c>
      <c r="P84" s="44">
        <f t="shared" si="90"/>
      </c>
      <c r="Q84" s="45">
        <f t="shared" si="90"/>
      </c>
      <c r="R84" s="44">
        <f t="shared" si="90"/>
      </c>
      <c r="S84" s="45">
        <f t="shared" si="90"/>
      </c>
      <c r="T84" s="44">
        <f t="shared" si="90"/>
      </c>
      <c r="U84" s="45">
        <f>IF(U83=0,"",обідл*U83/1000)</f>
      </c>
      <c r="V84" s="82">
        <f>IF(V83=0,"",обідл*V83/1000)</f>
      </c>
      <c r="W84" s="46">
        <f>IF(W83=0,"",полдникл*W83/1000)</f>
      </c>
      <c r="X84" s="44"/>
      <c r="Y84" s="82">
        <f>IF(Y83=0,"",полдникл*Y83/1000)</f>
      </c>
      <c r="Z84" s="46">
        <f aca="true" t="shared" si="91" ref="Z84:AG84">IF(Z83=0,"",ужинл*Z83/1000)</f>
      </c>
      <c r="AA84" s="45">
        <f t="shared" si="91"/>
      </c>
      <c r="AB84" s="44">
        <f t="shared" si="91"/>
      </c>
      <c r="AC84" s="45">
        <f t="shared" si="91"/>
      </c>
      <c r="AD84" s="44">
        <f t="shared" si="91"/>
      </c>
      <c r="AE84" s="45">
        <f t="shared" si="91"/>
      </c>
      <c r="AF84" s="44">
        <f t="shared" si="91"/>
      </c>
      <c r="AG84" s="82">
        <f t="shared" si="91"/>
      </c>
      <c r="AH84" s="142"/>
      <c r="AI84" s="139"/>
      <c r="AJ84" s="140"/>
      <c r="AK84" s="143"/>
      <c r="AL84" s="143"/>
      <c r="AM84" s="132"/>
      <c r="AN84" s="130"/>
      <c r="AQ84" s="55"/>
      <c r="AR84">
        <v>84</v>
      </c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</row>
    <row r="85" spans="1:129" ht="31.5" customHeight="1">
      <c r="A85" s="156" t="s">
        <v>25</v>
      </c>
      <c r="B85" s="156"/>
      <c r="C85" s="156"/>
      <c r="D85" s="156"/>
      <c r="E85" s="157"/>
      <c r="F85" s="64" t="s">
        <v>95</v>
      </c>
      <c r="G85" s="73">
        <f>VLOOKUP(завтрак1,таб,29,FALSE)</f>
        <v>0</v>
      </c>
      <c r="H85" s="35">
        <f>VLOOKUP(завтрак2,таб,29,FALSE)</f>
        <v>0</v>
      </c>
      <c r="I85" s="36"/>
      <c r="J85" s="35">
        <f>VLOOKUP(завтрак4,таб,29,FALSE)</f>
        <v>0</v>
      </c>
      <c r="K85" s="36">
        <f>VLOOKUP(завтрак5,таб,29,FALSE)</f>
        <v>0</v>
      </c>
      <c r="L85" s="121">
        <f>VLOOKUP(завтрак6,таб,29,FALSE)</f>
        <v>0</v>
      </c>
      <c r="M85" s="71">
        <f>VLOOKUP(завтрак7,таб,29,FALSE)</f>
        <v>0</v>
      </c>
      <c r="N85" s="81">
        <f>VLOOKUP(завтрак8,таб,29,FALSE)</f>
        <v>0</v>
      </c>
      <c r="O85" s="37">
        <f>VLOOKUP(обед1,таб,29,FALSE)</f>
        <v>0</v>
      </c>
      <c r="P85" s="36">
        <f>VLOOKUP(обед2,таб,29,FALSE)</f>
        <v>0</v>
      </c>
      <c r="Q85" s="35">
        <f>VLOOKUP(обед3,таб,29,FALSE)</f>
        <v>0</v>
      </c>
      <c r="R85" s="36">
        <f>VLOOKUP(обед4,таб,29,FALSE)</f>
        <v>0</v>
      </c>
      <c r="S85" s="35">
        <f>VLOOKUP(обед5,таб,29,FALSE)</f>
        <v>0</v>
      </c>
      <c r="T85" s="36">
        <f>VLOOKUP(обед6,таб,29,FALSE)</f>
        <v>0</v>
      </c>
      <c r="U85" s="35">
        <f>VLOOKUP(обед7,таб,29,FALSE)</f>
        <v>0</v>
      </c>
      <c r="V85" s="88">
        <f>VLOOKUP(обед8,таб,29,FALSE)</f>
        <v>0</v>
      </c>
      <c r="W85" s="37">
        <f>VLOOKUP(полдник1,таб,29,FALSE)</f>
        <v>0</v>
      </c>
      <c r="X85" s="36"/>
      <c r="Y85" s="88">
        <f>VLOOKUP(полдник3,таб,29,FALSE)</f>
        <v>0</v>
      </c>
      <c r="Z85" s="37">
        <f>VLOOKUP(ужин1,таб,29,FALSE)</f>
        <v>0</v>
      </c>
      <c r="AA85" s="35">
        <f>VLOOKUP(ужин2,таб,29,FALSE)</f>
        <v>0</v>
      </c>
      <c r="AB85" s="36">
        <f>VLOOKUP(ужин3,таб,29,FALSE)</f>
        <v>0</v>
      </c>
      <c r="AC85" s="35">
        <f>VLOOKUP(ужин4,таб,29,FALSE)</f>
        <v>0</v>
      </c>
      <c r="AD85" s="36">
        <f>VLOOKUP(ужин5,таб,29,FALSE)</f>
        <v>0</v>
      </c>
      <c r="AE85" s="35">
        <f>VLOOKUP(ужин6,таб,29,FALSE)</f>
        <v>0</v>
      </c>
      <c r="AF85" s="36">
        <f>VLOOKUP(ужин7,таб,29,FALSE)</f>
        <v>0</v>
      </c>
      <c r="AG85" s="88">
        <f>VLOOKUP(ужин8,таб,29,FALSE)</f>
        <v>0</v>
      </c>
      <c r="AH85" s="141">
        <v>613052</v>
      </c>
      <c r="AI85" s="139">
        <f>AK85/сред</f>
        <v>0</v>
      </c>
      <c r="AJ85" s="140"/>
      <c r="AK85" s="143">
        <f>SUM(G86:AG86)</f>
        <v>0</v>
      </c>
      <c r="AL85" s="143"/>
      <c r="AM85" s="131">
        <f>IF(AK85=0,0,Таблиця!AD267)</f>
        <v>0</v>
      </c>
      <c r="AN85" s="129">
        <f>AK85*AM85</f>
        <v>0</v>
      </c>
      <c r="AQ85" s="55"/>
      <c r="AR85">
        <v>85</v>
      </c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</row>
    <row r="86" spans="1:129" ht="31.5" customHeight="1">
      <c r="A86" s="158"/>
      <c r="B86" s="158"/>
      <c r="C86" s="158"/>
      <c r="D86" s="158"/>
      <c r="E86" s="159"/>
      <c r="F86" s="59" t="s">
        <v>96</v>
      </c>
      <c r="G86" s="74">
        <f aca="true" t="shared" si="92" ref="G86:N86">IF(G85=0,"",завтракл*G85/1000)</f>
      </c>
      <c r="H86" s="47">
        <f t="shared" si="92"/>
      </c>
      <c r="I86" s="43"/>
      <c r="J86" s="47">
        <f t="shared" si="92"/>
      </c>
      <c r="K86" s="43">
        <f t="shared" si="92"/>
      </c>
      <c r="L86" s="118">
        <f t="shared" si="92"/>
      </c>
      <c r="M86" s="72">
        <f t="shared" si="92"/>
      </c>
      <c r="N86" s="82">
        <f t="shared" si="92"/>
      </c>
      <c r="O86" s="48">
        <f aca="true" t="shared" si="93" ref="O86:T86">IF(O85=0,"",обідл*O85/1000)</f>
      </c>
      <c r="P86" s="43">
        <f t="shared" si="93"/>
      </c>
      <c r="Q86" s="47">
        <f t="shared" si="93"/>
      </c>
      <c r="R86" s="43">
        <f t="shared" si="93"/>
      </c>
      <c r="S86" s="47">
        <f t="shared" si="93"/>
      </c>
      <c r="T86" s="43">
        <f t="shared" si="93"/>
      </c>
      <c r="U86" s="47">
        <f>IF(U85=0,"",обідл*U85/1000)</f>
      </c>
      <c r="V86" s="85">
        <f>IF(V85=0,"",обідл*V85/1000)</f>
      </c>
      <c r="W86" s="48">
        <f>IF(W85=0,"",полдникл*W85/1000)</f>
      </c>
      <c r="X86" s="43"/>
      <c r="Y86" s="85">
        <f>IF(Y85=0,"",полдникл*Y85/1000)</f>
      </c>
      <c r="Z86" s="48">
        <f aca="true" t="shared" si="94" ref="Z86:AG86">IF(Z85=0,"",ужинл*Z85/1000)</f>
      </c>
      <c r="AA86" s="47">
        <f t="shared" si="94"/>
      </c>
      <c r="AB86" s="43">
        <f t="shared" si="94"/>
      </c>
      <c r="AC86" s="47">
        <f t="shared" si="94"/>
      </c>
      <c r="AD86" s="43">
        <f t="shared" si="94"/>
      </c>
      <c r="AE86" s="47">
        <f t="shared" si="94"/>
      </c>
      <c r="AF86" s="43">
        <f t="shared" si="94"/>
      </c>
      <c r="AG86" s="85">
        <f t="shared" si="94"/>
      </c>
      <c r="AH86" s="142"/>
      <c r="AI86" s="139"/>
      <c r="AJ86" s="140"/>
      <c r="AK86" s="143"/>
      <c r="AL86" s="143"/>
      <c r="AM86" s="132"/>
      <c r="AN86" s="130"/>
      <c r="AQ86" s="55"/>
      <c r="AR86">
        <v>86</v>
      </c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</row>
    <row r="87" spans="1:129" ht="31.5" customHeight="1">
      <c r="A87" s="163" t="s">
        <v>434</v>
      </c>
      <c r="B87" s="163"/>
      <c r="C87" s="163"/>
      <c r="D87" s="163"/>
      <c r="E87" s="164"/>
      <c r="F87" s="64" t="s">
        <v>95</v>
      </c>
      <c r="G87" s="71">
        <f>VLOOKUP(завтрак1,таб,30,FALSE)</f>
        <v>0</v>
      </c>
      <c r="H87" s="32">
        <f>VLOOKUP(завтрак2,таб,30,FALSE)</f>
        <v>0</v>
      </c>
      <c r="I87" s="33"/>
      <c r="J87" s="32">
        <f>VLOOKUP(завтрак4,таб,30,FALSE)</f>
        <v>0</v>
      </c>
      <c r="K87" s="33">
        <f>VLOOKUP(завтрак5,таб,30,FALSE)</f>
        <v>0</v>
      </c>
      <c r="L87" s="120">
        <f>VLOOKUP(завтрак6,таб,30,FALSE)</f>
        <v>0</v>
      </c>
      <c r="M87" s="71">
        <f>VLOOKUP(завтрак7,таб,30,FALSE)</f>
        <v>0</v>
      </c>
      <c r="N87" s="81">
        <f>VLOOKUP(завтрак8,таб,30,FALSE)</f>
        <v>0</v>
      </c>
      <c r="O87" s="34">
        <f>VLOOKUP(обед1,таб,30,FALSE)</f>
        <v>0</v>
      </c>
      <c r="P87" s="33">
        <f>VLOOKUP(обед2,таб,30,FALSE)</f>
        <v>0</v>
      </c>
      <c r="Q87" s="32">
        <f>VLOOKUP(обед3,таб,30,FALSE)</f>
        <v>0</v>
      </c>
      <c r="R87" s="33">
        <f>VLOOKUP(обед4,таб,30,FALSE)</f>
        <v>0</v>
      </c>
      <c r="S87" s="32">
        <f>VLOOKUP(обед5,таб,30,FALSE)</f>
        <v>0</v>
      </c>
      <c r="T87" s="33">
        <f>VLOOKUP(обед6,таб,30,FALSE)</f>
        <v>0</v>
      </c>
      <c r="U87" s="32">
        <f>VLOOKUP(обед7,таб,30,FALSE)</f>
        <v>0</v>
      </c>
      <c r="V87" s="87">
        <f>VLOOKUP(обед8,таб,30,FALSE)</f>
        <v>0</v>
      </c>
      <c r="W87" s="34">
        <f>VLOOKUP(полдник1,таб,30,FALSE)</f>
        <v>0</v>
      </c>
      <c r="X87" s="33"/>
      <c r="Y87" s="87">
        <f>VLOOKUP(полдник3,таб,30,FALSE)</f>
        <v>0</v>
      </c>
      <c r="Z87" s="34">
        <f>VLOOKUP(ужин1,таб,30,FALSE)</f>
        <v>0</v>
      </c>
      <c r="AA87" s="32">
        <f>VLOOKUP(ужин2,таб,30,FALSE)</f>
        <v>0</v>
      </c>
      <c r="AB87" s="33">
        <f>VLOOKUP(ужин3,таб,30,FALSE)</f>
        <v>0</v>
      </c>
      <c r="AC87" s="32">
        <f>VLOOKUP(ужин4,таб,30,FALSE)</f>
        <v>0</v>
      </c>
      <c r="AD87" s="33">
        <f>VLOOKUP(ужин5,таб,30,FALSE)</f>
        <v>0</v>
      </c>
      <c r="AE87" s="32">
        <f>VLOOKUP(ужин6,таб,30,FALSE)</f>
        <v>0</v>
      </c>
      <c r="AF87" s="33">
        <f>VLOOKUP(ужин7,таб,30,FALSE)</f>
        <v>0</v>
      </c>
      <c r="AG87" s="87">
        <f>VLOOKUP(ужин8,таб,30,FALSE)</f>
        <v>0</v>
      </c>
      <c r="AH87" s="141">
        <v>613068</v>
      </c>
      <c r="AI87" s="139">
        <f>AK87/сред</f>
        <v>0</v>
      </c>
      <c r="AJ87" s="140"/>
      <c r="AK87" s="143">
        <f>SUM(G88:AG88)</f>
        <v>0</v>
      </c>
      <c r="AL87" s="143"/>
      <c r="AM87" s="131">
        <f>IF(AK87=0,0,Таблиця!AE267)</f>
        <v>0</v>
      </c>
      <c r="AN87" s="129">
        <f>AK87*AM87</f>
        <v>0</v>
      </c>
      <c r="AQ87" s="55"/>
      <c r="AR87">
        <v>87</v>
      </c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5"/>
      <c r="DD87" s="54"/>
      <c r="DE87" s="55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</row>
    <row r="88" spans="1:129" ht="31.5" customHeight="1">
      <c r="A88" s="163"/>
      <c r="B88" s="163"/>
      <c r="C88" s="163"/>
      <c r="D88" s="163"/>
      <c r="E88" s="164"/>
      <c r="F88" s="59" t="s">
        <v>96</v>
      </c>
      <c r="G88" s="72">
        <f aca="true" t="shared" si="95" ref="G88:N88">IF(G87=0,"",завтракл*G87/1000)</f>
      </c>
      <c r="H88" s="45">
        <f t="shared" si="95"/>
      </c>
      <c r="I88" s="44"/>
      <c r="J88" s="45">
        <f t="shared" si="95"/>
      </c>
      <c r="K88" s="44">
        <f t="shared" si="95"/>
      </c>
      <c r="L88" s="117">
        <f t="shared" si="95"/>
      </c>
      <c r="M88" s="72">
        <f t="shared" si="95"/>
      </c>
      <c r="N88" s="82">
        <f t="shared" si="95"/>
      </c>
      <c r="O88" s="46">
        <f aca="true" t="shared" si="96" ref="O88:T88">IF(O87=0,"",обідл*O87/1000)</f>
      </c>
      <c r="P88" s="44">
        <f t="shared" si="96"/>
      </c>
      <c r="Q88" s="45">
        <f t="shared" si="96"/>
      </c>
      <c r="R88" s="44">
        <f t="shared" si="96"/>
      </c>
      <c r="S88" s="45">
        <f t="shared" si="96"/>
      </c>
      <c r="T88" s="44">
        <f t="shared" si="96"/>
      </c>
      <c r="U88" s="45">
        <f>IF(U87=0,"",обідл*U87/1000)</f>
      </c>
      <c r="V88" s="82">
        <f>IF(V87=0,"",обідл*V87/1000)</f>
      </c>
      <c r="W88" s="46">
        <f>IF(W87=0,"",полдникл*W87/1000)</f>
      </c>
      <c r="X88" s="44"/>
      <c r="Y88" s="82">
        <f>IF(Y87=0,"",полдникл*Y87/1000)</f>
      </c>
      <c r="Z88" s="46">
        <f aca="true" t="shared" si="97" ref="Z88:AG88">IF(Z87=0,"",ужинл*Z87/1000)</f>
      </c>
      <c r="AA88" s="45">
        <f t="shared" si="97"/>
      </c>
      <c r="AB88" s="44">
        <f t="shared" si="97"/>
      </c>
      <c r="AC88" s="45">
        <f t="shared" si="97"/>
      </c>
      <c r="AD88" s="44">
        <f t="shared" si="97"/>
      </c>
      <c r="AE88" s="45">
        <f t="shared" si="97"/>
      </c>
      <c r="AF88" s="44">
        <f t="shared" si="97"/>
      </c>
      <c r="AG88" s="82">
        <f t="shared" si="97"/>
      </c>
      <c r="AH88" s="142"/>
      <c r="AI88" s="139"/>
      <c r="AJ88" s="140"/>
      <c r="AK88" s="143"/>
      <c r="AL88" s="143"/>
      <c r="AM88" s="132"/>
      <c r="AN88" s="130"/>
      <c r="AQ88" s="55"/>
      <c r="AR88">
        <v>88</v>
      </c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99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</row>
    <row r="89" spans="1:129" ht="30.75" customHeight="1">
      <c r="A89" s="225">
        <v>1</v>
      </c>
      <c r="B89" s="225"/>
      <c r="C89" s="225"/>
      <c r="D89" s="225"/>
      <c r="E89" s="226"/>
      <c r="F89" s="144">
        <v>2</v>
      </c>
      <c r="G89" s="146">
        <v>3</v>
      </c>
      <c r="H89" s="150">
        <v>4</v>
      </c>
      <c r="I89" s="150">
        <v>5</v>
      </c>
      <c r="J89" s="150">
        <v>6</v>
      </c>
      <c r="K89" s="150">
        <v>7</v>
      </c>
      <c r="L89" s="144">
        <v>8</v>
      </c>
      <c r="M89" s="146">
        <v>9</v>
      </c>
      <c r="N89" s="148">
        <v>10</v>
      </c>
      <c r="O89" s="154">
        <v>11</v>
      </c>
      <c r="P89" s="150">
        <v>12</v>
      </c>
      <c r="Q89" s="150">
        <v>13</v>
      </c>
      <c r="R89" s="150">
        <v>14</v>
      </c>
      <c r="S89" s="150">
        <v>15</v>
      </c>
      <c r="T89" s="150">
        <v>16</v>
      </c>
      <c r="U89" s="150">
        <v>17</v>
      </c>
      <c r="V89" s="148">
        <v>18</v>
      </c>
      <c r="W89" s="154">
        <v>19</v>
      </c>
      <c r="X89" s="150">
        <v>20</v>
      </c>
      <c r="Y89" s="148">
        <v>21</v>
      </c>
      <c r="Z89" s="154">
        <v>22</v>
      </c>
      <c r="AA89" s="150">
        <v>23</v>
      </c>
      <c r="AB89" s="150">
        <v>24</v>
      </c>
      <c r="AC89" s="150">
        <v>25</v>
      </c>
      <c r="AD89" s="150">
        <v>26</v>
      </c>
      <c r="AE89" s="150">
        <v>27</v>
      </c>
      <c r="AF89" s="150">
        <v>28</v>
      </c>
      <c r="AG89" s="148">
        <v>29</v>
      </c>
      <c r="AH89" s="141"/>
      <c r="AI89" s="139"/>
      <c r="AJ89" s="140"/>
      <c r="AK89" s="143"/>
      <c r="AL89" s="143"/>
      <c r="AM89" s="131"/>
      <c r="AN89" s="129"/>
      <c r="AQ89" s="55"/>
      <c r="AR89">
        <v>89</v>
      </c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</row>
    <row r="90" spans="1:129" ht="30.75" customHeight="1">
      <c r="A90" s="225"/>
      <c r="B90" s="225"/>
      <c r="C90" s="225"/>
      <c r="D90" s="225"/>
      <c r="E90" s="226"/>
      <c r="F90" s="145"/>
      <c r="G90" s="147"/>
      <c r="H90" s="151"/>
      <c r="I90" s="151"/>
      <c r="J90" s="151"/>
      <c r="K90" s="151"/>
      <c r="L90" s="145"/>
      <c r="M90" s="147"/>
      <c r="N90" s="149"/>
      <c r="O90" s="155"/>
      <c r="P90" s="151"/>
      <c r="Q90" s="151"/>
      <c r="R90" s="151"/>
      <c r="S90" s="151"/>
      <c r="T90" s="151"/>
      <c r="U90" s="151"/>
      <c r="V90" s="149"/>
      <c r="W90" s="155"/>
      <c r="X90" s="151"/>
      <c r="Y90" s="149"/>
      <c r="Z90" s="155"/>
      <c r="AA90" s="151"/>
      <c r="AB90" s="151"/>
      <c r="AC90" s="151"/>
      <c r="AD90" s="151"/>
      <c r="AE90" s="151"/>
      <c r="AF90" s="151"/>
      <c r="AG90" s="149"/>
      <c r="AH90" s="142"/>
      <c r="AI90" s="139"/>
      <c r="AJ90" s="140"/>
      <c r="AK90" s="143"/>
      <c r="AL90" s="143"/>
      <c r="AM90" s="132"/>
      <c r="AN90" s="130"/>
      <c r="AQ90" s="55"/>
      <c r="AR90">
        <v>90</v>
      </c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</row>
    <row r="91" spans="1:129" ht="30.75" customHeight="1">
      <c r="A91" s="156" t="s">
        <v>0</v>
      </c>
      <c r="B91" s="156"/>
      <c r="C91" s="156"/>
      <c r="D91" s="156"/>
      <c r="E91" s="157"/>
      <c r="F91" s="64" t="s">
        <v>95</v>
      </c>
      <c r="G91" s="73">
        <f>VLOOKUP(завтрак1,таб,31,FALSE)</f>
        <v>0</v>
      </c>
      <c r="H91" s="35">
        <f>VLOOKUP(завтрак2,таб,31,FALSE)</f>
        <v>0</v>
      </c>
      <c r="I91" s="36"/>
      <c r="J91" s="35">
        <f>VLOOKUP(завтрак4,таб,31,FALSE)</f>
        <v>0</v>
      </c>
      <c r="K91" s="36">
        <f>VLOOKUP(завтрак5,таб,31,FALSE)</f>
        <v>0</v>
      </c>
      <c r="L91" s="121">
        <f>VLOOKUP(завтрак6,таб,31,FALSE)</f>
        <v>0</v>
      </c>
      <c r="M91" s="71">
        <f>VLOOKUP(завтрак7,таб,31,FALSE)</f>
        <v>0</v>
      </c>
      <c r="N91" s="81">
        <f>VLOOKUP(завтрак8,таб,31,FALSE)</f>
        <v>0</v>
      </c>
      <c r="O91" s="37">
        <f>VLOOKUP(обед1,таб,31,FALSE)</f>
        <v>0</v>
      </c>
      <c r="P91" s="36">
        <f>VLOOKUP(обед2,таб,31,FALSE)</f>
        <v>0</v>
      </c>
      <c r="Q91" s="35">
        <f>VLOOKUP(обед3,таб,31,FALSE)</f>
        <v>0</v>
      </c>
      <c r="R91" s="36">
        <f>VLOOKUP(обед4,таб,31,FALSE)</f>
        <v>0</v>
      </c>
      <c r="S91" s="35">
        <f>VLOOKUP(обед5,таб,31,FALSE)</f>
        <v>0</v>
      </c>
      <c r="T91" s="36">
        <f>VLOOKUP(обед6,таб,31,FALSE)</f>
        <v>0</v>
      </c>
      <c r="U91" s="35">
        <f>VLOOKUP(обед7,таб,31,FALSE)</f>
        <v>0</v>
      </c>
      <c r="V91" s="88">
        <f>VLOOKUP(обед8,таб,31,FALSE)</f>
        <v>0</v>
      </c>
      <c r="W91" s="37">
        <f>VLOOKUP(полдник1,таб,31,FALSE)</f>
        <v>0</v>
      </c>
      <c r="X91" s="36"/>
      <c r="Y91" s="88">
        <f>VLOOKUP(полдник3,таб,31,FALSE)</f>
        <v>0</v>
      </c>
      <c r="Z91" s="37">
        <f>VLOOKUP(ужин1,таб,31,FALSE)</f>
        <v>0</v>
      </c>
      <c r="AA91" s="35">
        <f>VLOOKUP(ужин2,таб,31,FALSE)</f>
        <v>0</v>
      </c>
      <c r="AB91" s="36">
        <f>VLOOKUP(ужин3,таб,31,FALSE)</f>
        <v>0</v>
      </c>
      <c r="AC91" s="35">
        <f>VLOOKUP(ужин4,таб,31,FALSE)</f>
        <v>0</v>
      </c>
      <c r="AD91" s="36">
        <f>VLOOKUP(ужин5,таб,31,FALSE)</f>
        <v>0</v>
      </c>
      <c r="AE91" s="35">
        <f>VLOOKUP(ужин6,таб,31,FALSE)</f>
        <v>0</v>
      </c>
      <c r="AF91" s="36">
        <f>VLOOKUP(ужин7,таб,31,FALSE)</f>
        <v>0</v>
      </c>
      <c r="AG91" s="88">
        <f>VLOOKUP(ужин8,таб,31,FALSE)</f>
        <v>0</v>
      </c>
      <c r="AH91" s="141">
        <v>613072</v>
      </c>
      <c r="AI91" s="223">
        <f>AK91/сред</f>
        <v>0</v>
      </c>
      <c r="AJ91" s="224"/>
      <c r="AK91" s="130">
        <f>SUM(G92:AG92)</f>
        <v>0</v>
      </c>
      <c r="AL91" s="130"/>
      <c r="AM91" s="131">
        <f>IF(AK91=0,0,Таблиця!AF267)</f>
        <v>0</v>
      </c>
      <c r="AN91" s="129">
        <f>AK91*AM91</f>
        <v>0</v>
      </c>
      <c r="AQ91" s="55"/>
      <c r="AR91">
        <v>91</v>
      </c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</row>
    <row r="92" spans="1:129" ht="30.75" customHeight="1">
      <c r="A92" s="158"/>
      <c r="B92" s="158"/>
      <c r="C92" s="158"/>
      <c r="D92" s="158"/>
      <c r="E92" s="159"/>
      <c r="F92" s="59" t="s">
        <v>96</v>
      </c>
      <c r="G92" s="74">
        <f aca="true" t="shared" si="98" ref="G92:N92">IF(G91=0,"",завтракл*G91/1000)</f>
      </c>
      <c r="H92" s="47">
        <f t="shared" si="98"/>
      </c>
      <c r="I92" s="43"/>
      <c r="J92" s="47">
        <f t="shared" si="98"/>
      </c>
      <c r="K92" s="43">
        <f t="shared" si="98"/>
      </c>
      <c r="L92" s="118">
        <f t="shared" si="98"/>
      </c>
      <c r="M92" s="72">
        <f t="shared" si="98"/>
      </c>
      <c r="N92" s="82">
        <f t="shared" si="98"/>
      </c>
      <c r="O92" s="48">
        <f aca="true" t="shared" si="99" ref="O92:V92">IF(O91=0,"",обідл*O91/1000)</f>
      </c>
      <c r="P92" s="43">
        <f t="shared" si="99"/>
      </c>
      <c r="Q92" s="47">
        <f t="shared" si="99"/>
      </c>
      <c r="R92" s="43">
        <f t="shared" si="99"/>
      </c>
      <c r="S92" s="47">
        <f t="shared" si="99"/>
      </c>
      <c r="T92" s="43">
        <f t="shared" si="99"/>
      </c>
      <c r="U92" s="47">
        <f t="shared" si="99"/>
      </c>
      <c r="V92" s="85">
        <f t="shared" si="99"/>
      </c>
      <c r="W92" s="48">
        <f>IF(W91=0,"",полдникл*W91/1000)</f>
      </c>
      <c r="X92" s="43"/>
      <c r="Y92" s="85">
        <f>IF(Y91=0,"",полдникл*Y91/1000)</f>
      </c>
      <c r="Z92" s="48">
        <f aca="true" t="shared" si="100" ref="Z92:AG92">IF(Z91=0,"",ужинл*Z91/1000)</f>
      </c>
      <c r="AA92" s="47">
        <f t="shared" si="100"/>
      </c>
      <c r="AB92" s="43">
        <f t="shared" si="100"/>
      </c>
      <c r="AC92" s="47">
        <f t="shared" si="100"/>
      </c>
      <c r="AD92" s="43">
        <f t="shared" si="100"/>
      </c>
      <c r="AE92" s="47">
        <f t="shared" si="100"/>
      </c>
      <c r="AF92" s="43">
        <f t="shared" si="100"/>
      </c>
      <c r="AG92" s="85">
        <f t="shared" si="100"/>
      </c>
      <c r="AH92" s="142"/>
      <c r="AI92" s="139"/>
      <c r="AJ92" s="140"/>
      <c r="AK92" s="143"/>
      <c r="AL92" s="143"/>
      <c r="AM92" s="132"/>
      <c r="AN92" s="130"/>
      <c r="AQ92" s="55"/>
      <c r="AR92">
        <v>92</v>
      </c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</row>
    <row r="93" spans="1:129" ht="30.75" customHeight="1">
      <c r="A93" s="163" t="s">
        <v>124</v>
      </c>
      <c r="B93" s="163"/>
      <c r="C93" s="163"/>
      <c r="D93" s="163"/>
      <c r="E93" s="164"/>
      <c r="F93" s="64" t="s">
        <v>95</v>
      </c>
      <c r="G93" s="71">
        <f>VLOOKUP(завтрак1,таб,69,FALSE)</f>
        <v>0</v>
      </c>
      <c r="H93" s="32">
        <f>VLOOKUP(завтрак2,таб,69,FALSE)</f>
        <v>0</v>
      </c>
      <c r="I93" s="33"/>
      <c r="J93" s="32">
        <f>VLOOKUP(завтрак4,таб,69,FALSE)</f>
        <v>0</v>
      </c>
      <c r="K93" s="33">
        <f>VLOOKUP(завтрак5,таб,69,FALSE)</f>
        <v>0</v>
      </c>
      <c r="L93" s="120">
        <f>VLOOKUP(завтрак6,таб,69,FALSE)</f>
        <v>0</v>
      </c>
      <c r="M93" s="71">
        <f>VLOOKUP(завтрак7,таб,69,FALSE)</f>
        <v>0</v>
      </c>
      <c r="N93" s="81">
        <f>VLOOKUP(завтрак8,таб,69,FALSE)</f>
        <v>0</v>
      </c>
      <c r="O93" s="34">
        <f>VLOOKUP(обед1,таб,69,FALSE)</f>
        <v>0</v>
      </c>
      <c r="P93" s="33">
        <f>VLOOKUP(обед2,таб,69,FALSE)</f>
        <v>0</v>
      </c>
      <c r="Q93" s="32">
        <f>VLOOKUP(обед3,таб,69,FALSE)</f>
        <v>0</v>
      </c>
      <c r="R93" s="33">
        <f>VLOOKUP(обед4,таб,69,FALSE)</f>
        <v>0</v>
      </c>
      <c r="S93" s="32">
        <f>VLOOKUP(обед5,таб,69,FALSE)</f>
        <v>0</v>
      </c>
      <c r="T93" s="33">
        <f>VLOOKUP(обед6,таб,69,FALSE)</f>
        <v>0</v>
      </c>
      <c r="U93" s="32">
        <f>VLOOKUP(обед7,таб,69,FALSE)</f>
        <v>0</v>
      </c>
      <c r="V93" s="87">
        <f>VLOOKUP(обед8,таб,69,FALSE)</f>
        <v>0</v>
      </c>
      <c r="W93" s="34">
        <f>VLOOKUP(полдник1,таб,69,FALSE)</f>
        <v>0</v>
      </c>
      <c r="X93" s="33"/>
      <c r="Y93" s="87">
        <f>VLOOKUP(полдник3,таб,69,FALSE)</f>
        <v>0</v>
      </c>
      <c r="Z93" s="34">
        <f>VLOOKUP(ужин1,таб,69,FALSE)</f>
        <v>0</v>
      </c>
      <c r="AA93" s="32">
        <f>VLOOKUP(ужин2,таб,69,FALSE)</f>
        <v>0</v>
      </c>
      <c r="AB93" s="33">
        <f>VLOOKUP(ужин3,таб,69,FALSE)</f>
        <v>0</v>
      </c>
      <c r="AC93" s="32">
        <f>VLOOKUP(ужин4,таб,69,FALSE)</f>
        <v>0</v>
      </c>
      <c r="AD93" s="33">
        <f>VLOOKUP(ужин5,таб,69,FALSE)</f>
        <v>0</v>
      </c>
      <c r="AE93" s="32">
        <f>VLOOKUP(ужин6,таб,69,FALSE)</f>
        <v>0</v>
      </c>
      <c r="AF93" s="33">
        <f>VLOOKUP(ужин7,таб,69,FALSE)</f>
        <v>0</v>
      </c>
      <c r="AG93" s="87">
        <f>VLOOKUP(ужин8,таб,69,FALSE)</f>
        <v>0</v>
      </c>
      <c r="AH93" s="141"/>
      <c r="AI93" s="139">
        <f>AK93/сред</f>
        <v>0</v>
      </c>
      <c r="AJ93" s="140"/>
      <c r="AK93" s="143">
        <f>SUM(G94:AG94)</f>
        <v>0</v>
      </c>
      <c r="AL93" s="143"/>
      <c r="AM93" s="129">
        <f>IF(AK93=0,0,Таблиця!BR267)</f>
        <v>0</v>
      </c>
      <c r="AN93" s="129">
        <f>AK93*AM93</f>
        <v>0</v>
      </c>
      <c r="AQ93" s="55"/>
      <c r="AR93">
        <v>93</v>
      </c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</row>
    <row r="94" spans="1:129" ht="30.75" customHeight="1">
      <c r="A94" s="163"/>
      <c r="B94" s="163"/>
      <c r="C94" s="163"/>
      <c r="D94" s="163"/>
      <c r="E94" s="164"/>
      <c r="F94" s="59" t="s">
        <v>96</v>
      </c>
      <c r="G94" s="72">
        <f aca="true" t="shared" si="101" ref="G94:N94">IF(G93=0,"",завтракл*G93/1000)</f>
      </c>
      <c r="H94" s="45">
        <f t="shared" si="101"/>
      </c>
      <c r="I94" s="44"/>
      <c r="J94" s="45">
        <f t="shared" si="101"/>
      </c>
      <c r="K94" s="44">
        <f t="shared" si="101"/>
      </c>
      <c r="L94" s="117">
        <f t="shared" si="101"/>
      </c>
      <c r="M94" s="72">
        <f t="shared" si="101"/>
      </c>
      <c r="N94" s="82">
        <f t="shared" si="101"/>
      </c>
      <c r="O94" s="46">
        <f aca="true" t="shared" si="102" ref="O94:V94">IF(O93=0,"",обідл*O93/1000)</f>
      </c>
      <c r="P94" s="44">
        <f t="shared" si="102"/>
      </c>
      <c r="Q94" s="45">
        <f t="shared" si="102"/>
      </c>
      <c r="R94" s="44">
        <f t="shared" si="102"/>
      </c>
      <c r="S94" s="45">
        <f t="shared" si="102"/>
      </c>
      <c r="T94" s="44">
        <f t="shared" si="102"/>
      </c>
      <c r="U94" s="45">
        <f t="shared" si="102"/>
      </c>
      <c r="V94" s="82">
        <f t="shared" si="102"/>
      </c>
      <c r="W94" s="46">
        <f>IF(W93=0,"",полдникл*W93/1000)</f>
      </c>
      <c r="X94" s="44"/>
      <c r="Y94" s="82">
        <f>IF(Y93=0,"",полдникл*Y93/1000)</f>
      </c>
      <c r="Z94" s="46">
        <f aca="true" t="shared" si="103" ref="Z94:AG94">IF(Z93=0,"",ужинл*Z93/1000)</f>
      </c>
      <c r="AA94" s="45">
        <f t="shared" si="103"/>
      </c>
      <c r="AB94" s="44">
        <f t="shared" si="103"/>
      </c>
      <c r="AC94" s="45">
        <f t="shared" si="103"/>
      </c>
      <c r="AD94" s="44">
        <f t="shared" si="103"/>
      </c>
      <c r="AE94" s="45">
        <f t="shared" si="103"/>
      </c>
      <c r="AF94" s="44">
        <f t="shared" si="103"/>
      </c>
      <c r="AG94" s="82">
        <f t="shared" si="103"/>
      </c>
      <c r="AH94" s="142"/>
      <c r="AI94" s="139"/>
      <c r="AJ94" s="140"/>
      <c r="AK94" s="143"/>
      <c r="AL94" s="143"/>
      <c r="AM94" s="130"/>
      <c r="AN94" s="130"/>
      <c r="AQ94" s="55"/>
      <c r="AR94">
        <v>94</v>
      </c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</row>
    <row r="95" spans="1:129" ht="30.75" customHeight="1">
      <c r="A95" s="156" t="s">
        <v>123</v>
      </c>
      <c r="B95" s="156"/>
      <c r="C95" s="156"/>
      <c r="D95" s="156"/>
      <c r="E95" s="157"/>
      <c r="F95" s="64" t="s">
        <v>95</v>
      </c>
      <c r="G95" s="73">
        <f>VLOOKUP(завтрак1,таб,32,FALSE)</f>
        <v>0</v>
      </c>
      <c r="H95" s="35"/>
      <c r="I95" s="36"/>
      <c r="J95" s="35">
        <f>VLOOKUP(завтрак4,таб,32,FALSE)</f>
        <v>0</v>
      </c>
      <c r="K95" s="36">
        <f>VLOOKUP(завтрак5,таб,32,FALSE)</f>
        <v>0</v>
      </c>
      <c r="L95" s="121">
        <f>VLOOKUP(завтрак6,таб,32,FALSE)</f>
        <v>0</v>
      </c>
      <c r="M95" s="71">
        <f>VLOOKUP(завтрак7,таб,32,FALSE)</f>
        <v>0</v>
      </c>
      <c r="N95" s="81">
        <f>VLOOKUP(завтрак8,таб,32,FALSE)</f>
        <v>0</v>
      </c>
      <c r="O95" s="37">
        <f>VLOOKUP(обед1,таб,32,FALSE)</f>
        <v>0</v>
      </c>
      <c r="P95" s="36">
        <f>VLOOKUP(обед2,таб,32,FALSE)</f>
        <v>0</v>
      </c>
      <c r="Q95" s="35">
        <f>VLOOKUP(обед3,таб,32,FALSE)</f>
        <v>0</v>
      </c>
      <c r="R95" s="36">
        <f>VLOOKUP(обед4,таб,32,FALSE)</f>
        <v>0</v>
      </c>
      <c r="S95" s="35">
        <f>VLOOKUP(обед5,таб,32,FALSE)</f>
        <v>0</v>
      </c>
      <c r="T95" s="36">
        <f>VLOOKUP(обед6,таб,32,FALSE)</f>
        <v>0</v>
      </c>
      <c r="U95" s="35">
        <f>VLOOKUP(обед7,таб,32,FALSE)</f>
        <v>0</v>
      </c>
      <c r="V95" s="88">
        <f>VLOOKUP(обед8,таб,32,FALSE)</f>
        <v>0</v>
      </c>
      <c r="W95" s="37">
        <f>VLOOKUP(полдник1,таб,32,FALSE)</f>
        <v>0</v>
      </c>
      <c r="X95" s="36"/>
      <c r="Y95" s="88">
        <f>VLOOKUP(полдник3,таб,32,FALSE)</f>
        <v>0</v>
      </c>
      <c r="Z95" s="37">
        <f>VLOOKUP(ужин1,таб,32,FALSE)</f>
        <v>0</v>
      </c>
      <c r="AA95" s="35">
        <f>VLOOKUP(ужин2,таб,32,FALSE)</f>
        <v>0</v>
      </c>
      <c r="AB95" s="36">
        <f>VLOOKUP(ужин3,таб,32,FALSE)</f>
        <v>0</v>
      </c>
      <c r="AC95" s="35">
        <f>VLOOKUP(ужин4,таб,32,FALSE)</f>
        <v>0</v>
      </c>
      <c r="AD95" s="36">
        <f>VLOOKUP(ужин5,таб,32,FALSE)</f>
        <v>0</v>
      </c>
      <c r="AE95" s="35">
        <f>VLOOKUP(ужин6,таб,32,FALSE)</f>
        <v>0</v>
      </c>
      <c r="AF95" s="36">
        <f>VLOOKUP(ужин7,таб,32,FALSE)</f>
        <v>0</v>
      </c>
      <c r="AG95" s="88">
        <f>VLOOKUP(ужин8,таб,32,FALSE)</f>
        <v>0</v>
      </c>
      <c r="AH95" s="141">
        <v>614001</v>
      </c>
      <c r="AI95" s="139">
        <f>AK95/сред</f>
        <v>0</v>
      </c>
      <c r="AJ95" s="140"/>
      <c r="AK95" s="143">
        <f>SUM(G96:AG96)</f>
        <v>0</v>
      </c>
      <c r="AL95" s="143"/>
      <c r="AM95" s="131">
        <f>IF(AK95=0,0,Таблиця!EF267)</f>
        <v>0</v>
      </c>
      <c r="AN95" s="129">
        <f>AK95*AM95</f>
        <v>0</v>
      </c>
      <c r="AQ95" s="55"/>
      <c r="AR95">
        <v>95</v>
      </c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</row>
    <row r="96" spans="1:129" ht="30.75" customHeight="1">
      <c r="A96" s="158"/>
      <c r="B96" s="158"/>
      <c r="C96" s="158"/>
      <c r="D96" s="158"/>
      <c r="E96" s="159"/>
      <c r="F96" s="59" t="s">
        <v>96</v>
      </c>
      <c r="G96" s="74">
        <f aca="true" t="shared" si="104" ref="G96:N96">IF(G95=0,"",завтракл*G95/1000)</f>
      </c>
      <c r="H96" s="47">
        <f t="shared" si="104"/>
      </c>
      <c r="I96" s="43"/>
      <c r="J96" s="47">
        <f t="shared" si="104"/>
      </c>
      <c r="K96" s="43">
        <f t="shared" si="104"/>
      </c>
      <c r="L96" s="118">
        <f t="shared" si="104"/>
      </c>
      <c r="M96" s="72">
        <f t="shared" si="104"/>
      </c>
      <c r="N96" s="82">
        <f t="shared" si="104"/>
      </c>
      <c r="O96" s="48">
        <f aca="true" t="shared" si="105" ref="O96:V96">IF(O95=0,"",обідл*O95/1000)</f>
      </c>
      <c r="P96" s="43">
        <f t="shared" si="105"/>
      </c>
      <c r="Q96" s="47">
        <f t="shared" si="105"/>
      </c>
      <c r="R96" s="43">
        <f t="shared" si="105"/>
      </c>
      <c r="S96" s="47">
        <f t="shared" si="105"/>
      </c>
      <c r="T96" s="43">
        <f t="shared" si="105"/>
      </c>
      <c r="U96" s="47">
        <f t="shared" si="105"/>
      </c>
      <c r="V96" s="85">
        <f t="shared" si="105"/>
      </c>
      <c r="W96" s="48">
        <f>IF(W95=0,"",полдникл*W95/1000)</f>
      </c>
      <c r="X96" s="43"/>
      <c r="Y96" s="85">
        <f>IF(Y95=0,"",полдникл*Y95/1000)</f>
      </c>
      <c r="Z96" s="48">
        <f aca="true" t="shared" si="106" ref="Z96:AG96">IF(Z95=0,"",ужинл*Z95/1000)</f>
      </c>
      <c r="AA96" s="47">
        <f t="shared" si="106"/>
      </c>
      <c r="AB96" s="43">
        <f t="shared" si="106"/>
      </c>
      <c r="AC96" s="47">
        <f t="shared" si="106"/>
      </c>
      <c r="AD96" s="43">
        <f t="shared" si="106"/>
      </c>
      <c r="AE96" s="47">
        <f t="shared" si="106"/>
      </c>
      <c r="AF96" s="43">
        <f t="shared" si="106"/>
      </c>
      <c r="AG96" s="85">
        <f t="shared" si="106"/>
      </c>
      <c r="AH96" s="142"/>
      <c r="AI96" s="139"/>
      <c r="AJ96" s="140"/>
      <c r="AK96" s="143"/>
      <c r="AL96" s="143"/>
      <c r="AM96" s="132"/>
      <c r="AN96" s="130"/>
      <c r="AQ96" s="55"/>
      <c r="AR96">
        <v>96</v>
      </c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</row>
    <row r="97" spans="1:129" ht="30.75" customHeight="1">
      <c r="A97" s="163" t="s">
        <v>28</v>
      </c>
      <c r="B97" s="163"/>
      <c r="C97" s="163"/>
      <c r="D97" s="163"/>
      <c r="E97" s="164"/>
      <c r="F97" s="64" t="s">
        <v>95</v>
      </c>
      <c r="G97" s="71">
        <f>VLOOKUP(завтрак1,таб,33,FALSE)</f>
        <v>0</v>
      </c>
      <c r="H97" s="32">
        <f>VLOOKUP(завтрак2,таб,33,FALSE)</f>
        <v>0</v>
      </c>
      <c r="I97" s="33"/>
      <c r="J97" s="32">
        <f>VLOOKUP(завтрак4,таб,33,FALSE)</f>
        <v>0</v>
      </c>
      <c r="K97" s="33">
        <f>VLOOKUP(завтрак5,таб,33,FALSE)</f>
        <v>0</v>
      </c>
      <c r="L97" s="120">
        <f>VLOOKUP(завтрак6,таб,33,FALSE)</f>
        <v>0</v>
      </c>
      <c r="M97" s="71">
        <f>VLOOKUP(завтрак7,таб,33,FALSE)</f>
        <v>0</v>
      </c>
      <c r="N97" s="81">
        <f>VLOOKUP(завтрак8,таб,33,FALSE)</f>
        <v>0</v>
      </c>
      <c r="O97" s="34">
        <f>VLOOKUP(обед1,таб,33,FALSE)</f>
        <v>0</v>
      </c>
      <c r="P97" s="33">
        <f>VLOOKUP(обед2,таб,33,FALSE)</f>
        <v>3</v>
      </c>
      <c r="Q97" s="32">
        <f>VLOOKUP(обед3,таб,33,FALSE)</f>
        <v>0</v>
      </c>
      <c r="R97" s="33">
        <f>VLOOKUP(обед4,таб,33,FALSE)</f>
        <v>0</v>
      </c>
      <c r="S97" s="32">
        <f>VLOOKUP(обед5,таб,33,FALSE)</f>
        <v>0</v>
      </c>
      <c r="T97" s="33">
        <f>VLOOKUP(обед6,таб,33,FALSE)</f>
        <v>0</v>
      </c>
      <c r="U97" s="32">
        <f>VLOOKUP(обед7,таб,33,FALSE)</f>
        <v>0</v>
      </c>
      <c r="V97" s="87">
        <f>VLOOKUP(обед8,таб,33,FALSE)</f>
        <v>0</v>
      </c>
      <c r="W97" s="34">
        <f>VLOOKUP(полдник1,таб,33,FALSE)</f>
        <v>1.5</v>
      </c>
      <c r="X97" s="33"/>
      <c r="Y97" s="87">
        <f>VLOOKUP(полдник3,таб,33,FALSE)</f>
        <v>0</v>
      </c>
      <c r="Z97" s="34">
        <f>VLOOKUP(ужин1,таб,33,FALSE)</f>
        <v>0</v>
      </c>
      <c r="AA97" s="32">
        <f>VLOOKUP(ужин2,таб,33,FALSE)</f>
        <v>0</v>
      </c>
      <c r="AB97" s="33">
        <f>VLOOKUP(ужин3,таб,33,FALSE)</f>
        <v>0</v>
      </c>
      <c r="AC97" s="32">
        <f>VLOOKUP(ужин4,таб,33,FALSE)</f>
        <v>0</v>
      </c>
      <c r="AD97" s="33">
        <f>VLOOKUP(ужин5,таб,33,FALSE)</f>
        <v>0</v>
      </c>
      <c r="AE97" s="32">
        <f>VLOOKUP(ужин6,таб,33,FALSE)</f>
        <v>0</v>
      </c>
      <c r="AF97" s="33">
        <f>VLOOKUP(ужин7,таб,33,FALSE)</f>
        <v>0</v>
      </c>
      <c r="AG97" s="87">
        <f>VLOOKUP(ужин8,таб,33,FALSE)</f>
        <v>0</v>
      </c>
      <c r="AH97" s="141">
        <v>614002</v>
      </c>
      <c r="AI97" s="139">
        <f>AK97/сред</f>
        <v>0.0045</v>
      </c>
      <c r="AJ97" s="140"/>
      <c r="AK97" s="143">
        <f>SUM(G98:AG98)</f>
        <v>0.09</v>
      </c>
      <c r="AL97" s="143"/>
      <c r="AM97" s="131">
        <f>IF(AK97=0,0,Таблиця!AH267)</f>
        <v>26.4</v>
      </c>
      <c r="AN97" s="129">
        <f>AK97*AM97</f>
        <v>2.376</v>
      </c>
      <c r="AQ97" s="55"/>
      <c r="AR97">
        <v>97</v>
      </c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</row>
    <row r="98" spans="1:129" ht="30.75" customHeight="1">
      <c r="A98" s="163"/>
      <c r="B98" s="163"/>
      <c r="C98" s="163"/>
      <c r="D98" s="163"/>
      <c r="E98" s="164"/>
      <c r="F98" s="59" t="s">
        <v>96</v>
      </c>
      <c r="G98" s="72">
        <f aca="true" t="shared" si="107" ref="G98:N98">IF(G97=0,"",завтракл*G97/1000)</f>
      </c>
      <c r="H98" s="45">
        <f t="shared" si="107"/>
      </c>
      <c r="I98" s="44"/>
      <c r="J98" s="45">
        <f t="shared" si="107"/>
      </c>
      <c r="K98" s="44">
        <f t="shared" si="107"/>
      </c>
      <c r="L98" s="117">
        <f t="shared" si="107"/>
      </c>
      <c r="M98" s="72">
        <f t="shared" si="107"/>
      </c>
      <c r="N98" s="82">
        <f t="shared" si="107"/>
      </c>
      <c r="O98" s="46">
        <f aca="true" t="shared" si="108" ref="O98:V98">IF(O97=0,"",обідл*O97/1000)</f>
      </c>
      <c r="P98" s="44">
        <f t="shared" si="108"/>
        <v>0.06</v>
      </c>
      <c r="Q98" s="45">
        <f t="shared" si="108"/>
      </c>
      <c r="R98" s="44">
        <f t="shared" si="108"/>
      </c>
      <c r="S98" s="45">
        <f t="shared" si="108"/>
      </c>
      <c r="T98" s="44">
        <f t="shared" si="108"/>
      </c>
      <c r="U98" s="45">
        <f t="shared" si="108"/>
      </c>
      <c r="V98" s="82">
        <f t="shared" si="108"/>
      </c>
      <c r="W98" s="46">
        <f>IF(W97=0,"",полдникл*W97/1000)</f>
        <v>0.03</v>
      </c>
      <c r="X98" s="44"/>
      <c r="Y98" s="82">
        <f>IF(Y97=0,"",полдникл*Y97/1000)</f>
      </c>
      <c r="Z98" s="46">
        <f aca="true" t="shared" si="109" ref="Z98:AG98">IF(Z97=0,"",ужинл*Z97/1000)</f>
      </c>
      <c r="AA98" s="45">
        <f t="shared" si="109"/>
      </c>
      <c r="AB98" s="44">
        <f t="shared" si="109"/>
      </c>
      <c r="AC98" s="45">
        <f t="shared" si="109"/>
      </c>
      <c r="AD98" s="44">
        <f t="shared" si="109"/>
      </c>
      <c r="AE98" s="45">
        <f t="shared" si="109"/>
      </c>
      <c r="AF98" s="44">
        <f t="shared" si="109"/>
      </c>
      <c r="AG98" s="82">
        <f t="shared" si="109"/>
      </c>
      <c r="AH98" s="142"/>
      <c r="AI98" s="139"/>
      <c r="AJ98" s="140"/>
      <c r="AK98" s="143"/>
      <c r="AL98" s="143"/>
      <c r="AM98" s="132"/>
      <c r="AN98" s="130"/>
      <c r="AQ98" s="55"/>
      <c r="AR98">
        <v>98</v>
      </c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</row>
    <row r="99" spans="1:129" ht="30.75" customHeight="1">
      <c r="A99" s="156" t="s">
        <v>29</v>
      </c>
      <c r="B99" s="156"/>
      <c r="C99" s="156"/>
      <c r="D99" s="156"/>
      <c r="E99" s="157"/>
      <c r="F99" s="64" t="s">
        <v>95</v>
      </c>
      <c r="G99" s="73">
        <f>VLOOKUP(завтрак1,таб,34,FALSE)</f>
        <v>0</v>
      </c>
      <c r="H99" s="35">
        <f>VLOOKUP(завтрак2,таб,34,FALSE)</f>
        <v>0</v>
      </c>
      <c r="I99" s="36"/>
      <c r="J99" s="35">
        <f>VLOOKUP(завтрак4,таб,34,FALSE)</f>
        <v>0</v>
      </c>
      <c r="K99" s="36">
        <f>VLOOKUP(завтрак5,таб,34,FALSE)</f>
        <v>0</v>
      </c>
      <c r="L99" s="121">
        <f>VLOOKUP(завтрак6,таб,34,FALSE)</f>
        <v>0</v>
      </c>
      <c r="M99" s="71">
        <f>VLOOKUP(завтрак7,таб,34,FALSE)</f>
        <v>0</v>
      </c>
      <c r="N99" s="81">
        <f>VLOOKUP(завтрак8,таб,34,FALSE)</f>
        <v>0</v>
      </c>
      <c r="O99" s="37">
        <f>VLOOKUP(обед1,таб,34,FALSE)</f>
        <v>0</v>
      </c>
      <c r="P99" s="36">
        <f>VLOOKUP(обед2,таб,34,FALSE)</f>
        <v>0</v>
      </c>
      <c r="Q99" s="35">
        <f>VLOOKUP(обед3,таб,34,FALSE)</f>
        <v>0</v>
      </c>
      <c r="R99" s="36">
        <f>VLOOKUP(обед4,таб,34,FALSE)</f>
        <v>0</v>
      </c>
      <c r="S99" s="35">
        <f>VLOOKUP(обед5,таб,34,FALSE)</f>
        <v>0</v>
      </c>
      <c r="T99" s="36">
        <f>VLOOKUP(обед6,таб,34,FALSE)</f>
        <v>0</v>
      </c>
      <c r="U99" s="35">
        <f>VLOOKUP(обед7,таб,34,FALSE)</f>
        <v>0</v>
      </c>
      <c r="V99" s="88">
        <f>VLOOKUP(обед8,таб,34,FALSE)</f>
        <v>0</v>
      </c>
      <c r="W99" s="37">
        <f>VLOOKUP(полдник1,таб,34,FALSE)</f>
        <v>0</v>
      </c>
      <c r="X99" s="36"/>
      <c r="Y99" s="88">
        <f>VLOOKUP(полдник3,таб,34,FALSE)</f>
        <v>0</v>
      </c>
      <c r="Z99" s="37">
        <f>VLOOKUP(ужин1,таб,34,FALSE)</f>
        <v>0</v>
      </c>
      <c r="AA99" s="35">
        <f>VLOOKUP(ужин2,таб,34,FALSE)</f>
        <v>0</v>
      </c>
      <c r="AB99" s="36">
        <f>VLOOKUP(ужин3,таб,34,FALSE)</f>
        <v>0</v>
      </c>
      <c r="AC99" s="35">
        <f>VLOOKUP(ужин4,таб,34,FALSE)</f>
        <v>0</v>
      </c>
      <c r="AD99" s="36">
        <f>VLOOKUP(ужин5,таб,34,FALSE)</f>
        <v>0</v>
      </c>
      <c r="AE99" s="35">
        <f>VLOOKUP(ужин6,таб,34,FALSE)</f>
        <v>0</v>
      </c>
      <c r="AF99" s="36">
        <f>VLOOKUP(ужин7,таб,34,FALSE)</f>
        <v>0</v>
      </c>
      <c r="AG99" s="88">
        <f>VLOOKUP(ужин8,таб,34,FALSE)</f>
        <v>0</v>
      </c>
      <c r="AH99" s="141">
        <v>614018</v>
      </c>
      <c r="AI99" s="171">
        <f>AK99/сред</f>
        <v>0</v>
      </c>
      <c r="AJ99" s="172"/>
      <c r="AK99" s="143">
        <f>SUM(G100:AG100)</f>
        <v>0</v>
      </c>
      <c r="AL99" s="143"/>
      <c r="AM99" s="131">
        <f>IF(AK99=0,0,Таблиця!AI267)</f>
        <v>0</v>
      </c>
      <c r="AN99" s="129">
        <f>AK99*AM99</f>
        <v>0</v>
      </c>
      <c r="AQ99" s="55"/>
      <c r="AR99">
        <v>99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</row>
    <row r="100" spans="1:129" ht="30.75" customHeight="1">
      <c r="A100" s="158"/>
      <c r="B100" s="158"/>
      <c r="C100" s="158"/>
      <c r="D100" s="158"/>
      <c r="E100" s="159"/>
      <c r="F100" s="59" t="s">
        <v>96</v>
      </c>
      <c r="G100" s="74">
        <f aca="true" t="shared" si="110" ref="G100:N100">IF(G99=0,"",завтракл*G99/1000)</f>
      </c>
      <c r="H100" s="47">
        <f t="shared" si="110"/>
      </c>
      <c r="I100" s="43"/>
      <c r="J100" s="47">
        <f t="shared" si="110"/>
      </c>
      <c r="K100" s="43">
        <f t="shared" si="110"/>
      </c>
      <c r="L100" s="118">
        <f t="shared" si="110"/>
      </c>
      <c r="M100" s="72">
        <f t="shared" si="110"/>
      </c>
      <c r="N100" s="82">
        <f t="shared" si="110"/>
      </c>
      <c r="O100" s="48">
        <f aca="true" t="shared" si="111" ref="O100:V100">IF(O99=0,"",обідл*O99/1000)</f>
      </c>
      <c r="P100" s="43">
        <f t="shared" si="111"/>
      </c>
      <c r="Q100" s="47">
        <f t="shared" si="111"/>
      </c>
      <c r="R100" s="43">
        <f t="shared" si="111"/>
      </c>
      <c r="S100" s="47">
        <f t="shared" si="111"/>
      </c>
      <c r="T100" s="43">
        <f t="shared" si="111"/>
      </c>
      <c r="U100" s="47">
        <f t="shared" si="111"/>
      </c>
      <c r="V100" s="85">
        <f t="shared" si="111"/>
      </c>
      <c r="W100" s="48">
        <f>IF(W99=0,"",полдникл*W99/1000)</f>
      </c>
      <c r="X100" s="43"/>
      <c r="Y100" s="85">
        <f>IF(Y99=0,"",полдникл*Y99/1000)</f>
      </c>
      <c r="Z100" s="48">
        <f aca="true" t="shared" si="112" ref="Z100:AG100">IF(Z99=0,"",ужинл*Z99/1000)</f>
      </c>
      <c r="AA100" s="47">
        <f t="shared" si="112"/>
      </c>
      <c r="AB100" s="43">
        <f t="shared" si="112"/>
      </c>
      <c r="AC100" s="47">
        <f t="shared" si="112"/>
      </c>
      <c r="AD100" s="43">
        <f t="shared" si="112"/>
      </c>
      <c r="AE100" s="47">
        <f t="shared" si="112"/>
      </c>
      <c r="AF100" s="43">
        <f t="shared" si="112"/>
      </c>
      <c r="AG100" s="85">
        <f t="shared" si="112"/>
      </c>
      <c r="AH100" s="142"/>
      <c r="AI100" s="171"/>
      <c r="AJ100" s="172"/>
      <c r="AK100" s="143"/>
      <c r="AL100" s="143"/>
      <c r="AM100" s="132"/>
      <c r="AN100" s="130"/>
      <c r="AQ100" s="55"/>
      <c r="AR100">
        <v>100</v>
      </c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</row>
    <row r="101" spans="1:129" ht="30.75" customHeight="1">
      <c r="A101" s="163" t="s">
        <v>30</v>
      </c>
      <c r="B101" s="163"/>
      <c r="C101" s="163"/>
      <c r="D101" s="163"/>
      <c r="E101" s="164"/>
      <c r="F101" s="64" t="s">
        <v>95</v>
      </c>
      <c r="G101" s="71">
        <f>VLOOKUP(завтрак1,таб,35,FALSE)</f>
        <v>0</v>
      </c>
      <c r="H101" s="32">
        <f>VLOOKUP(завтрак2,таб,35,FALSE)</f>
        <v>0</v>
      </c>
      <c r="I101" s="33"/>
      <c r="J101" s="32">
        <f>VLOOKUP(завтрак4,таб,35,FALSE)</f>
        <v>0</v>
      </c>
      <c r="K101" s="33">
        <f>VLOOKUP(завтрак5,таб,35,FALSE)</f>
        <v>0</v>
      </c>
      <c r="L101" s="120">
        <f>VLOOKUP(завтрак6,таб,35,FALSE)</f>
        <v>0</v>
      </c>
      <c r="M101" s="71">
        <f>VLOOKUP(завтрак7,таб,35,FALSE)</f>
        <v>0</v>
      </c>
      <c r="N101" s="81">
        <f>VLOOKUP(завтрак8,таб,35,FALSE)</f>
        <v>0</v>
      </c>
      <c r="O101" s="34">
        <f>VLOOKUP(обед1,таб,35,FALSE)</f>
        <v>0</v>
      </c>
      <c r="P101" s="33">
        <f>VLOOKUP(обед2,таб,35,FALSE)</f>
        <v>0</v>
      </c>
      <c r="Q101" s="32">
        <f>VLOOKUP(обед3,таб,35,FALSE)</f>
        <v>0</v>
      </c>
      <c r="R101" s="33">
        <f>VLOOKUP(обед4,таб,35,FALSE)</f>
        <v>0</v>
      </c>
      <c r="S101" s="32">
        <f>VLOOKUP(обед5,таб,35,FALSE)</f>
        <v>0</v>
      </c>
      <c r="T101" s="33">
        <f>VLOOKUP(обед6,таб,35,FALSE)</f>
        <v>0</v>
      </c>
      <c r="U101" s="32">
        <f>VLOOKUP(обед7,таб,35,FALSE)</f>
        <v>0</v>
      </c>
      <c r="V101" s="87">
        <f>VLOOKUP(обед8,таб,35,FALSE)</f>
        <v>0</v>
      </c>
      <c r="W101" s="34">
        <f>VLOOKUP(полдник1,таб,35,FALSE)</f>
        <v>0</v>
      </c>
      <c r="X101" s="33"/>
      <c r="Y101" s="87">
        <f>VLOOKUP(полдник3,таб,35,FALSE)</f>
        <v>0</v>
      </c>
      <c r="Z101" s="34">
        <f>VLOOKUP(ужин1,таб,35,FALSE)</f>
        <v>0</v>
      </c>
      <c r="AA101" s="32">
        <f>VLOOKUP(ужин2,таб,35,FALSE)</f>
        <v>0</v>
      </c>
      <c r="AB101" s="33">
        <f>VLOOKUP(ужин3,таб,35,FALSE)</f>
        <v>0</v>
      </c>
      <c r="AC101" s="32">
        <f>VLOOKUP(ужин4,таб,35,FALSE)</f>
        <v>0</v>
      </c>
      <c r="AD101" s="33">
        <f>VLOOKUP(ужин5,таб,35,FALSE)</f>
        <v>0</v>
      </c>
      <c r="AE101" s="32">
        <f>VLOOKUP(ужин6,таб,35,FALSE)</f>
        <v>0</v>
      </c>
      <c r="AF101" s="33">
        <f>VLOOKUP(ужин7,таб,35,FALSE)</f>
        <v>0</v>
      </c>
      <c r="AG101" s="87">
        <f>VLOOKUP(ужин8,таб,35,FALSE)</f>
        <v>0</v>
      </c>
      <c r="AH101" s="141">
        <v>614024</v>
      </c>
      <c r="AI101" s="171">
        <f>AK101/сред</f>
        <v>0</v>
      </c>
      <c r="AJ101" s="172"/>
      <c r="AK101" s="143">
        <f>SUM(G102:AG102)</f>
        <v>0</v>
      </c>
      <c r="AL101" s="143"/>
      <c r="AM101" s="131">
        <f>IF(AK101=0,0,Таблиця!AJ267)</f>
        <v>0</v>
      </c>
      <c r="AN101" s="129">
        <f>AK101*AM101</f>
        <v>0</v>
      </c>
      <c r="AQ101" s="55"/>
      <c r="AR101">
        <v>101</v>
      </c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</row>
    <row r="102" spans="1:129" ht="30.75" customHeight="1">
      <c r="A102" s="163"/>
      <c r="B102" s="163"/>
      <c r="C102" s="163"/>
      <c r="D102" s="163"/>
      <c r="E102" s="164"/>
      <c r="F102" s="59" t="s">
        <v>96</v>
      </c>
      <c r="G102" s="72">
        <f aca="true" t="shared" si="113" ref="G102:N102">IF(G101=0,"",завтракл*G101/1000)</f>
      </c>
      <c r="H102" s="45">
        <f t="shared" si="113"/>
      </c>
      <c r="I102" s="44"/>
      <c r="J102" s="45">
        <f t="shared" si="113"/>
      </c>
      <c r="K102" s="44">
        <f t="shared" si="113"/>
      </c>
      <c r="L102" s="117">
        <f t="shared" si="113"/>
      </c>
      <c r="M102" s="72">
        <f t="shared" si="113"/>
      </c>
      <c r="N102" s="82">
        <f t="shared" si="113"/>
      </c>
      <c r="O102" s="46">
        <f aca="true" t="shared" si="114" ref="O102:V102">IF(O101=0,"",обідл*O101/1000)</f>
      </c>
      <c r="P102" s="44">
        <f t="shared" si="114"/>
      </c>
      <c r="Q102" s="45">
        <f t="shared" si="114"/>
      </c>
      <c r="R102" s="44">
        <f t="shared" si="114"/>
      </c>
      <c r="S102" s="45">
        <f t="shared" si="114"/>
      </c>
      <c r="T102" s="44">
        <f t="shared" si="114"/>
      </c>
      <c r="U102" s="45">
        <f t="shared" si="114"/>
      </c>
      <c r="V102" s="82">
        <f t="shared" si="114"/>
      </c>
      <c r="W102" s="46">
        <f>IF(W101=0,"",полдникл*W101/1000)</f>
      </c>
      <c r="X102" s="44"/>
      <c r="Y102" s="82">
        <f>IF(Y101=0,"",полдникл*Y101/1000)</f>
      </c>
      <c r="Z102" s="46">
        <f aca="true" t="shared" si="115" ref="Z102:AG102">IF(Z101=0,"",ужинл*Z101/1000)</f>
      </c>
      <c r="AA102" s="45">
        <f t="shared" si="115"/>
      </c>
      <c r="AB102" s="44">
        <f t="shared" si="115"/>
      </c>
      <c r="AC102" s="45">
        <f t="shared" si="115"/>
      </c>
      <c r="AD102" s="44">
        <f t="shared" si="115"/>
      </c>
      <c r="AE102" s="45">
        <f t="shared" si="115"/>
      </c>
      <c r="AF102" s="44">
        <f t="shared" si="115"/>
      </c>
      <c r="AG102" s="82">
        <f t="shared" si="115"/>
      </c>
      <c r="AH102" s="142"/>
      <c r="AI102" s="171"/>
      <c r="AJ102" s="172"/>
      <c r="AK102" s="143"/>
      <c r="AL102" s="143"/>
      <c r="AM102" s="132"/>
      <c r="AN102" s="130"/>
      <c r="AQ102" s="55"/>
      <c r="AR102">
        <v>102</v>
      </c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</row>
    <row r="103" spans="1:129" ht="30.75" customHeight="1">
      <c r="A103" s="156" t="s">
        <v>31</v>
      </c>
      <c r="B103" s="156"/>
      <c r="C103" s="156"/>
      <c r="D103" s="156"/>
      <c r="E103" s="157"/>
      <c r="F103" s="64" t="s">
        <v>95</v>
      </c>
      <c r="G103" s="73">
        <f>VLOOKUP(завтрак1,таб,36,FALSE)</f>
        <v>0</v>
      </c>
      <c r="H103" s="35">
        <f>VLOOKUP(завтрак2,таб,36,FALSE)</f>
        <v>0</v>
      </c>
      <c r="I103" s="36"/>
      <c r="J103" s="35">
        <f>VLOOKUP(завтрак4,таб,36,FALSE)</f>
        <v>0</v>
      </c>
      <c r="K103" s="36">
        <f>VLOOKUP(завтрак5,таб,36,FALSE)</f>
        <v>0</v>
      </c>
      <c r="L103" s="121">
        <f>VLOOKUP(завтрак6,таб,36,FALSE)</f>
        <v>0</v>
      </c>
      <c r="M103" s="71">
        <f>VLOOKUP(завтрак7,таб,36,FALSE)</f>
        <v>0</v>
      </c>
      <c r="N103" s="81">
        <f>VLOOKUP(завтрак8,таб,36,FALSE)</f>
        <v>0</v>
      </c>
      <c r="O103" s="37">
        <f>VLOOKUP(обед1,таб,36,FALSE)</f>
        <v>0</v>
      </c>
      <c r="P103" s="36">
        <f>VLOOKUP(обед2,таб,36,FALSE)</f>
        <v>0</v>
      </c>
      <c r="Q103" s="35">
        <f>VLOOKUP(обед3,таб,36,FALSE)</f>
        <v>0</v>
      </c>
      <c r="R103" s="36">
        <f>VLOOKUP(обед4,таб,36,FALSE)</f>
        <v>0</v>
      </c>
      <c r="S103" s="35">
        <f>VLOOKUP(обед5,таб,36,FALSE)</f>
        <v>0</v>
      </c>
      <c r="T103" s="36">
        <f>VLOOKUP(обед6,таб,36,FALSE)</f>
        <v>0</v>
      </c>
      <c r="U103" s="35">
        <f>VLOOKUP(обед7,таб,36,FALSE)</f>
        <v>0</v>
      </c>
      <c r="V103" s="88">
        <f>VLOOKUP(обед8,таб,36,FALSE)</f>
        <v>0</v>
      </c>
      <c r="W103" s="37">
        <f>VLOOKUP(полдник1,таб,36,FALSE)</f>
        <v>0</v>
      </c>
      <c r="X103" s="36"/>
      <c r="Y103" s="88">
        <f>VLOOKUP(полдник3,таб,36,FALSE)</f>
        <v>0</v>
      </c>
      <c r="Z103" s="37">
        <f>VLOOKUP(ужин1,таб,36,FALSE)</f>
        <v>0</v>
      </c>
      <c r="AA103" s="35">
        <f>VLOOKUP(ужин2,таб,36,FALSE)</f>
        <v>0</v>
      </c>
      <c r="AB103" s="36">
        <f>VLOOKUP(ужин3,таб,36,FALSE)</f>
        <v>0</v>
      </c>
      <c r="AC103" s="35">
        <f>VLOOKUP(ужин4,таб,36,FALSE)</f>
        <v>0</v>
      </c>
      <c r="AD103" s="36">
        <f>VLOOKUP(ужин5,таб,36,FALSE)</f>
        <v>0</v>
      </c>
      <c r="AE103" s="35">
        <f>VLOOKUP(ужин6,таб,36,FALSE)</f>
        <v>0</v>
      </c>
      <c r="AF103" s="36">
        <f>VLOOKUP(ужин7,таб,36,FALSE)</f>
        <v>0</v>
      </c>
      <c r="AG103" s="88">
        <f>VLOOKUP(ужин8,таб,36,FALSE)</f>
        <v>0</v>
      </c>
      <c r="AH103" s="141">
        <v>614044</v>
      </c>
      <c r="AI103" s="171">
        <f>AK103/сред</f>
        <v>0</v>
      </c>
      <c r="AJ103" s="172"/>
      <c r="AK103" s="143">
        <f>SUM(G104:AG104)</f>
        <v>0</v>
      </c>
      <c r="AL103" s="143"/>
      <c r="AM103" s="131">
        <f>IF(AK103=0,0,Таблиця!EG267)</f>
        <v>0</v>
      </c>
      <c r="AN103" s="129">
        <f>AK103*AM103</f>
        <v>0</v>
      </c>
      <c r="AQ103" s="55"/>
      <c r="AR103">
        <v>103</v>
      </c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</row>
    <row r="104" spans="1:129" ht="30.75" customHeight="1">
      <c r="A104" s="158"/>
      <c r="B104" s="158"/>
      <c r="C104" s="158"/>
      <c r="D104" s="158"/>
      <c r="E104" s="159"/>
      <c r="F104" s="59" t="s">
        <v>96</v>
      </c>
      <c r="G104" s="74">
        <f aca="true" t="shared" si="116" ref="G104:N104">IF(G103=0,"",завтракл*G103/1000)</f>
      </c>
      <c r="H104" s="47">
        <f t="shared" si="116"/>
      </c>
      <c r="I104" s="43"/>
      <c r="J104" s="47">
        <f t="shared" si="116"/>
      </c>
      <c r="K104" s="43">
        <f t="shared" si="116"/>
      </c>
      <c r="L104" s="118">
        <f t="shared" si="116"/>
      </c>
      <c r="M104" s="72">
        <f t="shared" si="116"/>
      </c>
      <c r="N104" s="82">
        <f t="shared" si="116"/>
      </c>
      <c r="O104" s="48">
        <f aca="true" t="shared" si="117" ref="O104:V104">IF(O103=0,"",обідл*O103/1000)</f>
      </c>
      <c r="P104" s="43">
        <f t="shared" si="117"/>
      </c>
      <c r="Q104" s="47">
        <f t="shared" si="117"/>
      </c>
      <c r="R104" s="43">
        <f t="shared" si="117"/>
      </c>
      <c r="S104" s="47">
        <f t="shared" si="117"/>
      </c>
      <c r="T104" s="43">
        <f t="shared" si="117"/>
      </c>
      <c r="U104" s="47">
        <f t="shared" si="117"/>
      </c>
      <c r="V104" s="85">
        <f t="shared" si="117"/>
      </c>
      <c r="W104" s="48">
        <f>IF(W103=0,"",полдникл*W103/1000)</f>
      </c>
      <c r="X104" s="43"/>
      <c r="Y104" s="85">
        <f>IF(Y103=0,"",полдникл*Y103/1000)</f>
      </c>
      <c r="Z104" s="48">
        <f aca="true" t="shared" si="118" ref="Z104:AG104">IF(Z103=0,"",ужинл*Z103/1000)</f>
      </c>
      <c r="AA104" s="47">
        <f t="shared" si="118"/>
      </c>
      <c r="AB104" s="43">
        <f t="shared" si="118"/>
      </c>
      <c r="AC104" s="47">
        <f t="shared" si="118"/>
      </c>
      <c r="AD104" s="43">
        <f t="shared" si="118"/>
      </c>
      <c r="AE104" s="47">
        <f t="shared" si="118"/>
      </c>
      <c r="AF104" s="43">
        <f t="shared" si="118"/>
      </c>
      <c r="AG104" s="85">
        <f t="shared" si="118"/>
      </c>
      <c r="AH104" s="142"/>
      <c r="AI104" s="171"/>
      <c r="AJ104" s="172"/>
      <c r="AK104" s="143"/>
      <c r="AL104" s="143"/>
      <c r="AM104" s="132"/>
      <c r="AN104" s="130"/>
      <c r="AQ104" s="55"/>
      <c r="AR104">
        <v>104</v>
      </c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</row>
    <row r="105" spans="1:129" ht="30.75" customHeight="1">
      <c r="A105" s="163" t="s">
        <v>32</v>
      </c>
      <c r="B105" s="163"/>
      <c r="C105" s="163"/>
      <c r="D105" s="163"/>
      <c r="E105" s="164"/>
      <c r="F105" s="64" t="s">
        <v>95</v>
      </c>
      <c r="G105" s="71">
        <f>VLOOKUP(завтрак1,таб,37,FALSE)</f>
        <v>0</v>
      </c>
      <c r="H105" s="32">
        <f>VLOOKUP(завтрак2,таб,37,FALSE)</f>
        <v>0</v>
      </c>
      <c r="I105" s="33"/>
      <c r="J105" s="32">
        <f>VLOOKUP(завтрак4,таб,37,FALSE)</f>
        <v>0</v>
      </c>
      <c r="K105" s="33">
        <f>VLOOKUP(завтрак5,таб,37,FALSE)</f>
        <v>0</v>
      </c>
      <c r="L105" s="120">
        <f>VLOOKUP(завтрак6,таб,37,FALSE)</f>
        <v>0</v>
      </c>
      <c r="M105" s="71">
        <f>VLOOKUP(завтрак7,таб,37,FALSE)</f>
        <v>0</v>
      </c>
      <c r="N105" s="81">
        <f>VLOOKUP(завтрак8,таб,37,FALSE)</f>
        <v>0</v>
      </c>
      <c r="O105" s="34">
        <f>VLOOKUP(обед1,таб,37,FALSE)</f>
        <v>0</v>
      </c>
      <c r="P105" s="33">
        <f>VLOOKUP(обед2,таб,37,FALSE)</f>
        <v>0</v>
      </c>
      <c r="Q105" s="32">
        <f>VLOOKUP(обед3,таб,37,FALSE)</f>
        <v>0</v>
      </c>
      <c r="R105" s="33">
        <f>VLOOKUP(обед4,таб,37,FALSE)</f>
        <v>0</v>
      </c>
      <c r="S105" s="32">
        <f>VLOOKUP(обед5,таб,37,FALSE)</f>
        <v>0</v>
      </c>
      <c r="T105" s="33">
        <f>VLOOKUP(обед6,таб,37,FALSE)</f>
        <v>0</v>
      </c>
      <c r="U105" s="32">
        <f>VLOOKUP(обед7,таб,37,FALSE)</f>
        <v>0</v>
      </c>
      <c r="V105" s="87">
        <f>VLOOKUP(обед8,таб,37,FALSE)</f>
        <v>0</v>
      </c>
      <c r="W105" s="34">
        <f>VLOOKUP(полдник1,таб,37,FALSE)</f>
        <v>0</v>
      </c>
      <c r="X105" s="33"/>
      <c r="Y105" s="87">
        <f>VLOOKUP(полдник3,таб,37,FALSE)</f>
        <v>0</v>
      </c>
      <c r="Z105" s="34">
        <f>VLOOKUP(ужин1,таб,37,FALSE)</f>
        <v>0</v>
      </c>
      <c r="AA105" s="32">
        <f>VLOOKUP(ужин2,таб,37,FALSE)</f>
        <v>0</v>
      </c>
      <c r="AB105" s="33">
        <f>VLOOKUP(ужин3,таб,37,FALSE)</f>
        <v>0</v>
      </c>
      <c r="AC105" s="32">
        <f>VLOOKUP(ужин4,таб,37,FALSE)</f>
        <v>0</v>
      </c>
      <c r="AD105" s="33">
        <f>VLOOKUP(ужин5,таб,37,FALSE)</f>
        <v>0</v>
      </c>
      <c r="AE105" s="32">
        <f>VLOOKUP(ужин6,таб,37,FALSE)</f>
        <v>0</v>
      </c>
      <c r="AF105" s="33">
        <f>VLOOKUP(ужин7,таб,37,FALSE)</f>
        <v>0</v>
      </c>
      <c r="AG105" s="87">
        <f>VLOOKUP(ужин8,таб,37,FALSE)</f>
        <v>0</v>
      </c>
      <c r="AH105" s="141">
        <v>614074</v>
      </c>
      <c r="AI105" s="171">
        <f>AK105/сред</f>
        <v>0</v>
      </c>
      <c r="AJ105" s="172"/>
      <c r="AK105" s="143">
        <f>SUM(G106:AG106)</f>
        <v>0</v>
      </c>
      <c r="AL105" s="143"/>
      <c r="AM105" s="131">
        <f>IF(AK105=0,0,Таблиця!EH267)</f>
        <v>0</v>
      </c>
      <c r="AN105" s="129">
        <f>AK105*AM105</f>
        <v>0</v>
      </c>
      <c r="AQ105" s="55"/>
      <c r="AR105">
        <v>105</v>
      </c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</row>
    <row r="106" spans="1:129" ht="30.75" customHeight="1">
      <c r="A106" s="163"/>
      <c r="B106" s="163"/>
      <c r="C106" s="163"/>
      <c r="D106" s="163"/>
      <c r="E106" s="164"/>
      <c r="F106" s="59" t="s">
        <v>96</v>
      </c>
      <c r="G106" s="72">
        <f aca="true" t="shared" si="119" ref="G106:N106">IF(G105=0,"",завтракл*G105/1000)</f>
      </c>
      <c r="H106" s="45">
        <f t="shared" si="119"/>
      </c>
      <c r="I106" s="44"/>
      <c r="J106" s="45">
        <f t="shared" si="119"/>
      </c>
      <c r="K106" s="44">
        <f t="shared" si="119"/>
      </c>
      <c r="L106" s="117">
        <f t="shared" si="119"/>
      </c>
      <c r="M106" s="72">
        <f t="shared" si="119"/>
      </c>
      <c r="N106" s="82">
        <f t="shared" si="119"/>
      </c>
      <c r="O106" s="46">
        <f aca="true" t="shared" si="120" ref="O106:V106">IF(O105=0,"",обідл*O105/1000)</f>
      </c>
      <c r="P106" s="44">
        <f t="shared" si="120"/>
      </c>
      <c r="Q106" s="45">
        <f t="shared" si="120"/>
      </c>
      <c r="R106" s="44">
        <f t="shared" si="120"/>
      </c>
      <c r="S106" s="45">
        <f t="shared" si="120"/>
      </c>
      <c r="T106" s="44">
        <f t="shared" si="120"/>
      </c>
      <c r="U106" s="45">
        <f t="shared" si="120"/>
      </c>
      <c r="V106" s="82">
        <f t="shared" si="120"/>
      </c>
      <c r="W106" s="46">
        <f>IF(W105=0,"",полдникл*W105/1000)</f>
      </c>
      <c r="X106" s="44"/>
      <c r="Y106" s="82">
        <f>IF(Y105=0,"",полдникл*Y105/1000)</f>
      </c>
      <c r="Z106" s="46">
        <f aca="true" t="shared" si="121" ref="Z106:AG106">IF(Z105=0,"",ужинл*Z105/1000)</f>
      </c>
      <c r="AA106" s="45">
        <f t="shared" si="121"/>
      </c>
      <c r="AB106" s="44">
        <f t="shared" si="121"/>
      </c>
      <c r="AC106" s="45">
        <f t="shared" si="121"/>
      </c>
      <c r="AD106" s="44">
        <f t="shared" si="121"/>
      </c>
      <c r="AE106" s="45">
        <f t="shared" si="121"/>
      </c>
      <c r="AF106" s="44">
        <f t="shared" si="121"/>
      </c>
      <c r="AG106" s="82">
        <f t="shared" si="121"/>
      </c>
      <c r="AH106" s="142"/>
      <c r="AI106" s="171"/>
      <c r="AJ106" s="172"/>
      <c r="AK106" s="143"/>
      <c r="AL106" s="143"/>
      <c r="AM106" s="132"/>
      <c r="AN106" s="130"/>
      <c r="AQ106" s="55"/>
      <c r="AR106">
        <v>106</v>
      </c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</row>
    <row r="107" spans="1:129" ht="30.75" customHeight="1">
      <c r="A107" s="163" t="s">
        <v>33</v>
      </c>
      <c r="B107" s="163"/>
      <c r="C107" s="163"/>
      <c r="D107" s="163"/>
      <c r="E107" s="164"/>
      <c r="F107" s="64" t="s">
        <v>95</v>
      </c>
      <c r="G107" s="71">
        <f>VLOOKUP(завтрак1,таб,38,FALSE)</f>
        <v>0</v>
      </c>
      <c r="H107" s="32">
        <f>VLOOKUP(завтрак2,таб,38,FALSE)</f>
        <v>0</v>
      </c>
      <c r="I107" s="33"/>
      <c r="J107" s="32">
        <f>VLOOKUP(завтрак4,таб,38,FALSE)</f>
        <v>0</v>
      </c>
      <c r="K107" s="33">
        <f>VLOOKUP(завтрак5,таб,38,FALSE)</f>
        <v>0</v>
      </c>
      <c r="L107" s="120">
        <f>VLOOKUP(завтрак6,таб,38,FALSE)</f>
        <v>0</v>
      </c>
      <c r="M107" s="71">
        <f>VLOOKUP(завтрак7,таб,38,FALSE)</f>
        <v>0</v>
      </c>
      <c r="N107" s="81">
        <f>VLOOKUP(завтрак8,таб,38,FALSE)</f>
        <v>0</v>
      </c>
      <c r="O107" s="34">
        <f>VLOOKUP(обед1,таб,38,FALSE)</f>
        <v>0</v>
      </c>
      <c r="P107" s="33">
        <f>VLOOKUP(обед2,таб,38,FALSE)</f>
        <v>0</v>
      </c>
      <c r="Q107" s="32">
        <f>VLOOKUP(обед3,таб,38,FALSE)</f>
        <v>0</v>
      </c>
      <c r="R107" s="33">
        <f>VLOOKUP(обед4,таб,38,FALSE)</f>
        <v>0</v>
      </c>
      <c r="S107" s="32">
        <f>VLOOKUP(обед5,таб,38,FALSE)</f>
        <v>0</v>
      </c>
      <c r="T107" s="33">
        <f>VLOOKUP(обед6,таб,38,FALSE)</f>
        <v>0</v>
      </c>
      <c r="U107" s="32">
        <f>VLOOKUP(обед7,таб,38,FALSE)</f>
        <v>0</v>
      </c>
      <c r="V107" s="87">
        <f>VLOOKUP(обед8,таб,38,FALSE)</f>
        <v>0</v>
      </c>
      <c r="W107" s="34">
        <f>VLOOKUP(полдник1,таб,38,FALSE)</f>
        <v>0</v>
      </c>
      <c r="X107" s="33">
        <v>22.5</v>
      </c>
      <c r="Y107" s="87">
        <f>VLOOKUP(полдник3,таб,38,FALSE)</f>
        <v>0</v>
      </c>
      <c r="Z107" s="34">
        <f>VLOOKUP(ужин1,таб,38,FALSE)</f>
        <v>0</v>
      </c>
      <c r="AA107" s="32">
        <f>VLOOKUP(ужин2,таб,38,FALSE)</f>
        <v>0</v>
      </c>
      <c r="AB107" s="33">
        <f>VLOOKUP(ужин3,таб,38,FALSE)</f>
        <v>0</v>
      </c>
      <c r="AC107" s="32">
        <v>22.5</v>
      </c>
      <c r="AD107" s="33">
        <f>VLOOKUP(ужин5,таб,38,FALSE)</f>
        <v>0</v>
      </c>
      <c r="AE107" s="32">
        <f>VLOOKUP(ужин6,таб,38,FALSE)</f>
        <v>0</v>
      </c>
      <c r="AF107" s="33">
        <f>VLOOKUP(ужин7,таб,38,FALSE)</f>
        <v>0</v>
      </c>
      <c r="AG107" s="87">
        <f>VLOOKUP(ужин8,таб,38,FALSE)</f>
        <v>0</v>
      </c>
      <c r="AH107" s="141">
        <v>615027</v>
      </c>
      <c r="AI107" s="171">
        <f>AK107/сред</f>
        <v>0.045</v>
      </c>
      <c r="AJ107" s="172"/>
      <c r="AK107" s="143">
        <f>SUM(G108:AG108)</f>
        <v>0.9</v>
      </c>
      <c r="AL107" s="143"/>
      <c r="AM107" s="131">
        <f>IF(AK107=0,0,Таблиця!AM267)</f>
        <v>52</v>
      </c>
      <c r="AN107" s="129">
        <f>AK107*AM107</f>
        <v>46.800000000000004</v>
      </c>
      <c r="AQ107" s="55"/>
      <c r="AR107">
        <v>107</v>
      </c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</row>
    <row r="108" spans="1:129" ht="30.75" customHeight="1">
      <c r="A108" s="163"/>
      <c r="B108" s="163"/>
      <c r="C108" s="163"/>
      <c r="D108" s="163"/>
      <c r="E108" s="164"/>
      <c r="F108" s="59" t="s">
        <v>96</v>
      </c>
      <c r="G108" s="72">
        <f aca="true" t="shared" si="122" ref="G108:N108">IF(G107=0,"",завтракл*G107/1000)</f>
      </c>
      <c r="H108" s="45">
        <f t="shared" si="122"/>
      </c>
      <c r="I108" s="44"/>
      <c r="J108" s="45">
        <f t="shared" si="122"/>
      </c>
      <c r="K108" s="44">
        <f t="shared" si="122"/>
      </c>
      <c r="L108" s="117">
        <f t="shared" si="122"/>
      </c>
      <c r="M108" s="72">
        <f t="shared" si="122"/>
      </c>
      <c r="N108" s="82">
        <f t="shared" si="122"/>
      </c>
      <c r="O108" s="46">
        <f aca="true" t="shared" si="123" ref="O108:V108">IF(O107=0,"",обідл*O107/1000)</f>
      </c>
      <c r="P108" s="44">
        <f t="shared" si="123"/>
      </c>
      <c r="Q108" s="45">
        <f t="shared" si="123"/>
      </c>
      <c r="R108" s="44">
        <f t="shared" si="123"/>
      </c>
      <c r="S108" s="45">
        <f t="shared" si="123"/>
      </c>
      <c r="T108" s="44">
        <f t="shared" si="123"/>
      </c>
      <c r="U108" s="45">
        <f t="shared" si="123"/>
      </c>
      <c r="V108" s="82">
        <f t="shared" si="123"/>
      </c>
      <c r="W108" s="46">
        <f>IF(W107=0,"",полдникл*W107/1000)</f>
      </c>
      <c r="X108" s="44">
        <f>IF(X107=0,"",полдникл*X107/1000)</f>
        <v>0.45</v>
      </c>
      <c r="Y108" s="82">
        <f>IF(Y107=0,"",полдникл*Y107/1000)</f>
      </c>
      <c r="Z108" s="46">
        <f aca="true" t="shared" si="124" ref="Z108:AG108">IF(Z107=0,"",ужинл*Z107/1000)</f>
      </c>
      <c r="AA108" s="45">
        <f t="shared" si="124"/>
      </c>
      <c r="AB108" s="44">
        <f t="shared" si="124"/>
      </c>
      <c r="AC108" s="45">
        <f t="shared" si="124"/>
        <v>0.45</v>
      </c>
      <c r="AD108" s="44">
        <f t="shared" si="124"/>
      </c>
      <c r="AE108" s="45">
        <f t="shared" si="124"/>
      </c>
      <c r="AF108" s="44">
        <f t="shared" si="124"/>
      </c>
      <c r="AG108" s="82">
        <f t="shared" si="124"/>
      </c>
      <c r="AH108" s="142"/>
      <c r="AI108" s="171"/>
      <c r="AJ108" s="172"/>
      <c r="AK108" s="143"/>
      <c r="AL108" s="143"/>
      <c r="AM108" s="132"/>
      <c r="AN108" s="130"/>
      <c r="AQ108" s="55"/>
      <c r="AR108">
        <v>108</v>
      </c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</row>
    <row r="109" spans="1:129" ht="30.75" customHeight="1">
      <c r="A109" s="156" t="s">
        <v>100</v>
      </c>
      <c r="B109" s="156"/>
      <c r="C109" s="156"/>
      <c r="D109" s="156"/>
      <c r="E109" s="157"/>
      <c r="F109" s="64" t="s">
        <v>95</v>
      </c>
      <c r="G109" s="73">
        <f>VLOOKUP(завтрак1,таб,39,FALSE)</f>
        <v>0</v>
      </c>
      <c r="H109" s="35">
        <f>VLOOKUP(завтрак2,таб,39,FALSE)</f>
        <v>0</v>
      </c>
      <c r="I109" s="36"/>
      <c r="J109" s="35">
        <f>VLOOKUP(завтрак4,таб,39,FALSE)</f>
        <v>0</v>
      </c>
      <c r="K109" s="36">
        <f>VLOOKUP(завтрак5,таб,39,FALSE)</f>
        <v>0</v>
      </c>
      <c r="L109" s="121">
        <f>VLOOKUP(завтрак6,таб,39,FALSE)</f>
        <v>0</v>
      </c>
      <c r="M109" s="71">
        <f>VLOOKUP(завтрак7,таб,39,FALSE)</f>
        <v>0</v>
      </c>
      <c r="N109" s="81">
        <f>VLOOKUP(завтрак8,таб,39,FALSE)</f>
        <v>0</v>
      </c>
      <c r="O109" s="37">
        <f>VLOOKUP(обед1,таб,39,FALSE)</f>
        <v>0</v>
      </c>
      <c r="P109" s="36">
        <f>VLOOKUP(обед2,таб,39,FALSE)</f>
        <v>0</v>
      </c>
      <c r="Q109" s="35">
        <f>VLOOKUP(обед3,таб,39,FALSE)</f>
        <v>0</v>
      </c>
      <c r="R109" s="36">
        <f>VLOOKUP(обед4,таб,39,FALSE)</f>
        <v>0</v>
      </c>
      <c r="S109" s="35">
        <f>VLOOKUP(обед5,таб,39,FALSE)</f>
        <v>0</v>
      </c>
      <c r="T109" s="36">
        <f>VLOOKUP(обед6,таб,39,FALSE)</f>
        <v>0</v>
      </c>
      <c r="U109" s="35">
        <f>VLOOKUP(обед7,таб,39,FALSE)</f>
        <v>0</v>
      </c>
      <c r="V109" s="88">
        <f>VLOOKUP(обед8,таб,39,FALSE)</f>
        <v>0</v>
      </c>
      <c r="W109" s="37">
        <f>VLOOKUP(полдник1,таб,39,FALSE)</f>
        <v>0</v>
      </c>
      <c r="X109" s="36"/>
      <c r="Y109" s="88">
        <f>VLOOKUP(полдник3,таб,39,FALSE)</f>
        <v>0</v>
      </c>
      <c r="Z109" s="37">
        <f>VLOOKUP(ужин1,таб,39,FALSE)</f>
        <v>0</v>
      </c>
      <c r="AA109" s="35">
        <f>VLOOKUP(ужин2,таб,39,FALSE)</f>
        <v>0</v>
      </c>
      <c r="AB109" s="36">
        <f>VLOOKUP(ужин3,таб,39,FALSE)</f>
        <v>0</v>
      </c>
      <c r="AC109" s="35">
        <f>VLOOKUP(ужин4,таб,39,FALSE)</f>
        <v>0</v>
      </c>
      <c r="AD109" s="36">
        <f>VLOOKUP(ужин5,таб,39,FALSE)</f>
        <v>0</v>
      </c>
      <c r="AE109" s="35">
        <f>VLOOKUP(ужин6,таб,39,FALSE)</f>
        <v>0</v>
      </c>
      <c r="AF109" s="36">
        <f>VLOOKUP(ужин7,таб,39,FALSE)</f>
        <v>0</v>
      </c>
      <c r="AG109" s="88">
        <f>VLOOKUP(ужин8,таб,39,FALSE)</f>
        <v>0</v>
      </c>
      <c r="AH109" s="141">
        <v>615028</v>
      </c>
      <c r="AI109" s="171">
        <f>AK109/сред</f>
        <v>0</v>
      </c>
      <c r="AJ109" s="172"/>
      <c r="AK109" s="143">
        <f>SUM(G110:AG110)</f>
        <v>0</v>
      </c>
      <c r="AL109" s="143"/>
      <c r="AM109" s="131">
        <f>IF(AK109=0,0,Таблиця!AN267)</f>
        <v>0</v>
      </c>
      <c r="AN109" s="129">
        <f>AK109*AM109</f>
        <v>0</v>
      </c>
      <c r="AQ109" s="55"/>
      <c r="AR109">
        <v>109</v>
      </c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</row>
    <row r="110" spans="1:129" ht="30.75" customHeight="1">
      <c r="A110" s="158"/>
      <c r="B110" s="158"/>
      <c r="C110" s="158"/>
      <c r="D110" s="158"/>
      <c r="E110" s="159"/>
      <c r="F110" s="59" t="s">
        <v>96</v>
      </c>
      <c r="G110" s="74">
        <f aca="true" t="shared" si="125" ref="G110:N110">IF(G109=0,"",завтракл*G109/1000)</f>
      </c>
      <c r="H110" s="47">
        <f t="shared" si="125"/>
      </c>
      <c r="I110" s="43"/>
      <c r="J110" s="47">
        <f t="shared" si="125"/>
      </c>
      <c r="K110" s="43">
        <f t="shared" si="125"/>
      </c>
      <c r="L110" s="118">
        <f t="shared" si="125"/>
      </c>
      <c r="M110" s="72">
        <f t="shared" si="125"/>
      </c>
      <c r="N110" s="82">
        <f t="shared" si="125"/>
      </c>
      <c r="O110" s="48">
        <f aca="true" t="shared" si="126" ref="O110:V110">IF(O109=0,"",обідл*O109/1000)</f>
      </c>
      <c r="P110" s="43">
        <f t="shared" si="126"/>
      </c>
      <c r="Q110" s="47">
        <f t="shared" si="126"/>
      </c>
      <c r="R110" s="43">
        <f t="shared" si="126"/>
      </c>
      <c r="S110" s="47">
        <f t="shared" si="126"/>
      </c>
      <c r="T110" s="43">
        <f t="shared" si="126"/>
      </c>
      <c r="U110" s="47">
        <f t="shared" si="126"/>
      </c>
      <c r="V110" s="85">
        <f t="shared" si="126"/>
      </c>
      <c r="W110" s="48">
        <f>IF(W109=0,"",полдникл*W109/1000)</f>
      </c>
      <c r="X110" s="43"/>
      <c r="Y110" s="85">
        <f>IF(Y109=0,"",полдникл*Y109/1000)</f>
      </c>
      <c r="Z110" s="48">
        <f aca="true" t="shared" si="127" ref="Z110:AG110">IF(Z109=0,"",ужинл*Z109/1000)</f>
      </c>
      <c r="AA110" s="47">
        <f t="shared" si="127"/>
      </c>
      <c r="AB110" s="43">
        <f t="shared" si="127"/>
      </c>
      <c r="AC110" s="47">
        <f t="shared" si="127"/>
      </c>
      <c r="AD110" s="43">
        <f t="shared" si="127"/>
      </c>
      <c r="AE110" s="47">
        <f t="shared" si="127"/>
      </c>
      <c r="AF110" s="43">
        <f t="shared" si="127"/>
      </c>
      <c r="AG110" s="85">
        <f t="shared" si="127"/>
      </c>
      <c r="AH110" s="142"/>
      <c r="AI110" s="171"/>
      <c r="AJ110" s="172"/>
      <c r="AK110" s="143"/>
      <c r="AL110" s="143"/>
      <c r="AM110" s="132"/>
      <c r="AN110" s="130"/>
      <c r="AQ110" s="55"/>
      <c r="AR110">
        <v>110</v>
      </c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</row>
    <row r="111" spans="1:129" ht="30.75" customHeight="1">
      <c r="A111" s="163" t="s">
        <v>34</v>
      </c>
      <c r="B111" s="163"/>
      <c r="C111" s="163"/>
      <c r="D111" s="163"/>
      <c r="E111" s="164"/>
      <c r="F111" s="64" t="s">
        <v>95</v>
      </c>
      <c r="G111" s="71">
        <f>VLOOKUP(завтрак1,таб,40,FALSE)</f>
        <v>0</v>
      </c>
      <c r="H111" s="32">
        <f>VLOOKUP(завтрак2,таб,40,FALSE)</f>
        <v>0</v>
      </c>
      <c r="I111" s="33"/>
      <c r="J111" s="32">
        <f>VLOOKUP(завтрак4,таб,40,FALSE)</f>
        <v>0</v>
      </c>
      <c r="K111" s="33">
        <f>VLOOKUP(завтрак5,таб,40,FALSE)</f>
        <v>0</v>
      </c>
      <c r="L111" s="120">
        <f>VLOOKUP(завтрак6,таб,40,FALSE)</f>
        <v>0</v>
      </c>
      <c r="M111" s="71">
        <f>VLOOKUP(завтрак7,таб,40,FALSE)</f>
        <v>0</v>
      </c>
      <c r="N111" s="81">
        <f>VLOOKUP(завтрак8,таб,40,FALSE)</f>
        <v>0</v>
      </c>
      <c r="O111" s="34">
        <f>VLOOKUP(обед1,таб,40,FALSE)</f>
        <v>0</v>
      </c>
      <c r="P111" s="33">
        <f>VLOOKUP(обед2,таб,40,FALSE)</f>
        <v>0</v>
      </c>
      <c r="Q111" s="32">
        <f>VLOOKUP(обед3,таб,40,FALSE)</f>
        <v>0</v>
      </c>
      <c r="R111" s="33">
        <f>VLOOKUP(обед4,таб,40,FALSE)</f>
        <v>0</v>
      </c>
      <c r="S111" s="32">
        <f>VLOOKUP(обед5,таб,40,FALSE)</f>
        <v>0</v>
      </c>
      <c r="T111" s="33">
        <f>VLOOKUP(обед6,таб,40,FALSE)</f>
        <v>0</v>
      </c>
      <c r="U111" s="32">
        <f>VLOOKUP(обед7,таб,40,FALSE)</f>
        <v>0</v>
      </c>
      <c r="V111" s="87">
        <f>VLOOKUP(обед8,таб,40,FALSE)</f>
        <v>0</v>
      </c>
      <c r="W111" s="34">
        <f>VLOOKUP(полдник1,таб,40,FALSE)</f>
        <v>0</v>
      </c>
      <c r="X111" s="33"/>
      <c r="Y111" s="87">
        <f>VLOOKUP(полдник3,таб,40,FALSE)</f>
        <v>0</v>
      </c>
      <c r="Z111" s="34">
        <f>VLOOKUP(ужин1,таб,40,FALSE)</f>
        <v>0</v>
      </c>
      <c r="AA111" s="32">
        <f>VLOOKUP(ужин2,таб,40,FALSE)</f>
        <v>0</v>
      </c>
      <c r="AB111" s="33">
        <f>VLOOKUP(ужин3,таб,40,FALSE)</f>
        <v>0</v>
      </c>
      <c r="AC111" s="32">
        <f>VLOOKUP(ужин4,таб,40,FALSE)</f>
        <v>0</v>
      </c>
      <c r="AD111" s="33">
        <f>VLOOKUP(ужин5,таб,40,FALSE)</f>
        <v>0</v>
      </c>
      <c r="AE111" s="32">
        <f>VLOOKUP(ужин6,таб,40,FALSE)</f>
        <v>0</v>
      </c>
      <c r="AF111" s="33">
        <f>VLOOKUP(ужин7,таб,40,FALSE)</f>
        <v>0</v>
      </c>
      <c r="AG111" s="87">
        <f>VLOOKUP(ужин8,таб,40,FALSE)</f>
        <v>0</v>
      </c>
      <c r="AH111" s="141"/>
      <c r="AI111" s="139">
        <f>AK111/сред</f>
        <v>0</v>
      </c>
      <c r="AJ111" s="140"/>
      <c r="AK111" s="143">
        <f>SUM(G112:AG112)</f>
        <v>0</v>
      </c>
      <c r="AL111" s="143"/>
      <c r="AM111" s="131">
        <f>IF(AK111=0,0,Таблиця!AO267)</f>
        <v>0</v>
      </c>
      <c r="AN111" s="129">
        <f>AK111*AM111</f>
        <v>0</v>
      </c>
      <c r="AQ111" s="55"/>
      <c r="AR111">
        <v>111</v>
      </c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</row>
    <row r="112" spans="1:129" ht="30.75" customHeight="1">
      <c r="A112" s="163"/>
      <c r="B112" s="163"/>
      <c r="C112" s="163"/>
      <c r="D112" s="163"/>
      <c r="E112" s="164"/>
      <c r="F112" s="59" t="s">
        <v>96</v>
      </c>
      <c r="G112" s="72">
        <f aca="true" t="shared" si="128" ref="G112:N112">IF(G111=0,"",завтракл*G111/1000)</f>
      </c>
      <c r="H112" s="45">
        <f t="shared" si="128"/>
      </c>
      <c r="I112" s="44"/>
      <c r="J112" s="45">
        <f t="shared" si="128"/>
      </c>
      <c r="K112" s="44">
        <f t="shared" si="128"/>
      </c>
      <c r="L112" s="117">
        <f t="shared" si="128"/>
      </c>
      <c r="M112" s="72">
        <f t="shared" si="128"/>
      </c>
      <c r="N112" s="82">
        <f t="shared" si="128"/>
      </c>
      <c r="O112" s="46">
        <f aca="true" t="shared" si="129" ref="O112:V112">IF(O111=0,"",обідл*O111/1000)</f>
      </c>
      <c r="P112" s="44">
        <f t="shared" si="129"/>
      </c>
      <c r="Q112" s="45">
        <f t="shared" si="129"/>
      </c>
      <c r="R112" s="44">
        <f t="shared" si="129"/>
      </c>
      <c r="S112" s="45">
        <f t="shared" si="129"/>
      </c>
      <c r="T112" s="44">
        <f t="shared" si="129"/>
      </c>
      <c r="U112" s="45">
        <f t="shared" si="129"/>
      </c>
      <c r="V112" s="82">
        <f t="shared" si="129"/>
      </c>
      <c r="W112" s="46">
        <f>IF(W111=0,"",полдникл*W111/1000)</f>
      </c>
      <c r="X112" s="44"/>
      <c r="Y112" s="82">
        <f>IF(Y111=0,"",полдникл*Y111/1000)</f>
      </c>
      <c r="Z112" s="46">
        <f aca="true" t="shared" si="130" ref="Z112:AG112">IF(Z111=0,"",ужинл*Z111/1000)</f>
      </c>
      <c r="AA112" s="45">
        <f t="shared" si="130"/>
      </c>
      <c r="AB112" s="44">
        <f t="shared" si="130"/>
      </c>
      <c r="AC112" s="45">
        <f t="shared" si="130"/>
      </c>
      <c r="AD112" s="44">
        <f t="shared" si="130"/>
      </c>
      <c r="AE112" s="45">
        <f t="shared" si="130"/>
      </c>
      <c r="AF112" s="44">
        <f t="shared" si="130"/>
      </c>
      <c r="AG112" s="82">
        <f t="shared" si="130"/>
      </c>
      <c r="AH112" s="142"/>
      <c r="AI112" s="139"/>
      <c r="AJ112" s="140"/>
      <c r="AK112" s="143"/>
      <c r="AL112" s="143"/>
      <c r="AM112" s="132"/>
      <c r="AN112" s="130"/>
      <c r="AQ112" s="55"/>
      <c r="AR112">
        <v>112</v>
      </c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</row>
    <row r="113" spans="1:129" ht="30.75" customHeight="1">
      <c r="A113" s="163" t="s">
        <v>35</v>
      </c>
      <c r="B113" s="163"/>
      <c r="C113" s="163"/>
      <c r="D113" s="163"/>
      <c r="E113" s="164"/>
      <c r="F113" s="64" t="s">
        <v>95</v>
      </c>
      <c r="G113" s="73">
        <f>VLOOKUP(завтрак1,таб,41,FALSE)</f>
        <v>0</v>
      </c>
      <c r="H113" s="35">
        <f>VLOOKUP(завтрак2,таб,41,FALSE)</f>
        <v>0</v>
      </c>
      <c r="I113" s="36"/>
      <c r="J113" s="35">
        <f>VLOOKUP(завтрак4,таб,41,FALSE)</f>
        <v>0</v>
      </c>
      <c r="K113" s="36">
        <f>VLOOKUP(завтрак5,таб,41,FALSE)</f>
        <v>0</v>
      </c>
      <c r="L113" s="121">
        <f>VLOOKUP(завтрак6,таб,41,FALSE)</f>
        <v>0</v>
      </c>
      <c r="M113" s="71">
        <f>VLOOKUP(завтрак7,таб,41,FALSE)</f>
        <v>0</v>
      </c>
      <c r="N113" s="81">
        <f>VLOOKUP(завтрак8,таб,41,FALSE)</f>
        <v>0</v>
      </c>
      <c r="O113" s="37">
        <f>VLOOKUP(обед1,таб,41,FALSE)</f>
        <v>0</v>
      </c>
      <c r="P113" s="36">
        <f>VLOOKUP(обед2,таб,41,FALSE)</f>
        <v>0</v>
      </c>
      <c r="Q113" s="35">
        <f>VLOOKUP(обед3,таб,41,FALSE)</f>
        <v>0</v>
      </c>
      <c r="R113" s="36">
        <f>VLOOKUP(обед4,таб,41,FALSE)</f>
        <v>0</v>
      </c>
      <c r="S113" s="35">
        <f>VLOOKUP(обед5,таб,41,FALSE)</f>
        <v>0</v>
      </c>
      <c r="T113" s="36">
        <f>VLOOKUP(обед6,таб,41,FALSE)</f>
        <v>0</v>
      </c>
      <c r="U113" s="35">
        <f>VLOOKUP(обед7,таб,41,FALSE)</f>
        <v>0</v>
      </c>
      <c r="V113" s="88">
        <f>VLOOKUP(обед8,таб,41,FALSE)</f>
        <v>0</v>
      </c>
      <c r="W113" s="37">
        <f>VLOOKUP(полдник1,таб,41,FALSE)</f>
        <v>0</v>
      </c>
      <c r="X113" s="36"/>
      <c r="Y113" s="88">
        <f>VLOOKUP(полдник3,таб,41,FALSE)</f>
        <v>0</v>
      </c>
      <c r="Z113" s="37">
        <f>VLOOKUP(ужин1,таб,41,FALSE)</f>
        <v>0</v>
      </c>
      <c r="AA113" s="35">
        <f>VLOOKUP(ужин2,таб,41,FALSE)</f>
        <v>0</v>
      </c>
      <c r="AB113" s="36">
        <f>VLOOKUP(ужин3,таб,41,FALSE)</f>
        <v>0</v>
      </c>
      <c r="AC113" s="35">
        <f>VLOOKUP(ужин4,таб,41,FALSE)</f>
        <v>0</v>
      </c>
      <c r="AD113" s="36">
        <f>VLOOKUP(ужин5,таб,41,FALSE)</f>
        <v>0</v>
      </c>
      <c r="AE113" s="35">
        <f>VLOOKUP(ужин6,таб,41,FALSE)</f>
        <v>0</v>
      </c>
      <c r="AF113" s="36">
        <f>VLOOKUP(ужин7,таб,41,FALSE)</f>
        <v>0</v>
      </c>
      <c r="AG113" s="88">
        <f>VLOOKUP(ужин8,таб,41,FALSE)</f>
        <v>0</v>
      </c>
      <c r="AH113" s="141"/>
      <c r="AI113" s="139">
        <f>AK113/сред</f>
        <v>0</v>
      </c>
      <c r="AJ113" s="140"/>
      <c r="AK113" s="143">
        <f>SUM(G114:AG114)</f>
        <v>0</v>
      </c>
      <c r="AL113" s="143"/>
      <c r="AM113" s="131">
        <f>IF(AK113=0,0,Таблиця!AP267)</f>
        <v>0</v>
      </c>
      <c r="AN113" s="129">
        <f>AK113*AM113</f>
        <v>0</v>
      </c>
      <c r="AQ113" s="55"/>
      <c r="AR113">
        <v>113</v>
      </c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</row>
    <row r="114" spans="1:129" ht="30.75" customHeight="1">
      <c r="A114" s="158"/>
      <c r="B114" s="158"/>
      <c r="C114" s="158"/>
      <c r="D114" s="158"/>
      <c r="E114" s="159"/>
      <c r="F114" s="59" t="s">
        <v>96</v>
      </c>
      <c r="G114" s="74">
        <f aca="true" t="shared" si="131" ref="G114:N114">IF(G113=0,"",завтракл*G113/1000)</f>
      </c>
      <c r="H114" s="47">
        <f t="shared" si="131"/>
      </c>
      <c r="I114" s="43"/>
      <c r="J114" s="47">
        <f t="shared" si="131"/>
      </c>
      <c r="K114" s="43">
        <f t="shared" si="131"/>
      </c>
      <c r="L114" s="118">
        <f t="shared" si="131"/>
      </c>
      <c r="M114" s="72">
        <f t="shared" si="131"/>
      </c>
      <c r="N114" s="82">
        <f t="shared" si="131"/>
      </c>
      <c r="O114" s="48">
        <f aca="true" t="shared" si="132" ref="O114:V114">IF(O113=0,"",обідл*O113/1000)</f>
      </c>
      <c r="P114" s="43">
        <f t="shared" si="132"/>
      </c>
      <c r="Q114" s="47">
        <f t="shared" si="132"/>
      </c>
      <c r="R114" s="43">
        <f t="shared" si="132"/>
      </c>
      <c r="S114" s="47">
        <f t="shared" si="132"/>
      </c>
      <c r="T114" s="43">
        <f t="shared" si="132"/>
      </c>
      <c r="U114" s="47">
        <f t="shared" si="132"/>
      </c>
      <c r="V114" s="85">
        <f t="shared" si="132"/>
      </c>
      <c r="W114" s="48">
        <f>IF(W113=0,"",полдникл*W113/1000)</f>
      </c>
      <c r="X114" s="43"/>
      <c r="Y114" s="85">
        <f>IF(Y113=0,"",полдникл*Y113/1000)</f>
      </c>
      <c r="Z114" s="48">
        <f aca="true" t="shared" si="133" ref="Z114:AG114">IF(Z113=0,"",ужинл*Z113/1000)</f>
      </c>
      <c r="AA114" s="47">
        <f t="shared" si="133"/>
      </c>
      <c r="AB114" s="43">
        <f t="shared" si="133"/>
      </c>
      <c r="AC114" s="47">
        <f t="shared" si="133"/>
      </c>
      <c r="AD114" s="43">
        <f t="shared" si="133"/>
      </c>
      <c r="AE114" s="47">
        <f t="shared" si="133"/>
      </c>
      <c r="AF114" s="43">
        <f t="shared" si="133"/>
      </c>
      <c r="AG114" s="85">
        <f t="shared" si="133"/>
      </c>
      <c r="AH114" s="142"/>
      <c r="AI114" s="139"/>
      <c r="AJ114" s="140"/>
      <c r="AK114" s="143"/>
      <c r="AL114" s="143"/>
      <c r="AM114" s="132"/>
      <c r="AN114" s="130"/>
      <c r="AQ114" s="55"/>
      <c r="AR114">
        <v>114</v>
      </c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</row>
    <row r="115" spans="1:129" ht="30.75" customHeight="1">
      <c r="A115" s="163" t="s">
        <v>36</v>
      </c>
      <c r="B115" s="163"/>
      <c r="C115" s="163"/>
      <c r="D115" s="163"/>
      <c r="E115" s="164"/>
      <c r="F115" s="64" t="s">
        <v>95</v>
      </c>
      <c r="G115" s="71">
        <f>VLOOKUP(завтрак1,таб,42,FALSE)</f>
        <v>0</v>
      </c>
      <c r="H115" s="32">
        <f>VLOOKUP(завтрак2,таб,42,FALSE)</f>
        <v>0</v>
      </c>
      <c r="I115" s="33"/>
      <c r="J115" s="32">
        <f>VLOOKUP(завтрак4,таб,42,FALSE)</f>
        <v>0</v>
      </c>
      <c r="K115" s="33">
        <f>VLOOKUP(завтрак5,таб,42,FALSE)</f>
        <v>0</v>
      </c>
      <c r="L115" s="120">
        <f>VLOOKUP(завтрак6,таб,42,FALSE)</f>
        <v>0</v>
      </c>
      <c r="M115" s="71">
        <f>VLOOKUP(завтрак7,таб,42,FALSE)</f>
        <v>0</v>
      </c>
      <c r="N115" s="81">
        <f>VLOOKUP(завтрак8,таб,42,FALSE)</f>
        <v>85.5</v>
      </c>
      <c r="O115" s="34">
        <f>VLOOKUP(обед1,таб,42,FALSE)</f>
        <v>35.3</v>
      </c>
      <c r="P115" s="33">
        <f>VLOOKUP(обед2,таб,42,FALSE)</f>
        <v>0</v>
      </c>
      <c r="Q115" s="32">
        <f>VLOOKUP(обед3,таб,42,FALSE)</f>
        <v>0</v>
      </c>
      <c r="R115" s="33">
        <f>VLOOKUP(обед4,таб,42,FALSE)</f>
        <v>0</v>
      </c>
      <c r="S115" s="32">
        <f>VLOOKUP(обед5,таб,42,FALSE)</f>
        <v>0</v>
      </c>
      <c r="T115" s="33">
        <f>VLOOKUP(обед6,таб,42,FALSE)</f>
        <v>0</v>
      </c>
      <c r="U115" s="32">
        <f>VLOOKUP(обед7,таб,42,FALSE)</f>
        <v>0</v>
      </c>
      <c r="V115" s="87">
        <f>VLOOKUP(обед8,таб,42,FALSE)</f>
        <v>0</v>
      </c>
      <c r="W115" s="34">
        <f>VLOOKUP(полдник1,таб,42,FALSE)</f>
        <v>0</v>
      </c>
      <c r="X115" s="33"/>
      <c r="Y115" s="87">
        <f>VLOOKUP(полдник3,таб,42,FALSE)</f>
        <v>0</v>
      </c>
      <c r="Z115" s="34">
        <f>VLOOKUP(ужин1,таб,42,FALSE)</f>
        <v>0</v>
      </c>
      <c r="AA115" s="32">
        <f>VLOOKUP(ужин2,таб,42,FALSE)</f>
        <v>0</v>
      </c>
      <c r="AB115" s="33">
        <f>VLOOKUP(ужин3,таб,42,FALSE)</f>
        <v>0</v>
      </c>
      <c r="AC115" s="32">
        <f>VLOOKUP(ужин4,таб,42,FALSE)</f>
        <v>0</v>
      </c>
      <c r="AD115" s="33">
        <f>VLOOKUP(ужин5,таб,42,FALSE)</f>
        <v>0</v>
      </c>
      <c r="AE115" s="32">
        <f>VLOOKUP(ужин6,таб,42,FALSE)</f>
        <v>0</v>
      </c>
      <c r="AF115" s="33">
        <f>VLOOKUP(ужин7,таб,42,FALSE)</f>
        <v>0</v>
      </c>
      <c r="AG115" s="87">
        <f>VLOOKUP(ужин8,таб,42,FALSE)</f>
        <v>0</v>
      </c>
      <c r="AH115" s="141">
        <v>615054</v>
      </c>
      <c r="AI115" s="139">
        <f>AK115/сред</f>
        <v>0.12079999999999999</v>
      </c>
      <c r="AJ115" s="140"/>
      <c r="AK115" s="143">
        <f>SUM(G116:AG116)</f>
        <v>2.416</v>
      </c>
      <c r="AL115" s="143"/>
      <c r="AM115" s="131">
        <f>IF(AK115=0,0,Таблиця!AQ267)</f>
        <v>5.95</v>
      </c>
      <c r="AN115" s="129">
        <f>AK115*AM115</f>
        <v>14.3752</v>
      </c>
      <c r="AQ115" s="55"/>
      <c r="AR115">
        <v>115</v>
      </c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</row>
    <row r="116" spans="1:129" ht="30.75" customHeight="1">
      <c r="A116" s="163"/>
      <c r="B116" s="163"/>
      <c r="C116" s="163"/>
      <c r="D116" s="163"/>
      <c r="E116" s="164"/>
      <c r="F116" s="59" t="s">
        <v>96</v>
      </c>
      <c r="G116" s="72">
        <f aca="true" t="shared" si="134" ref="G116:N116">IF(G115=0,"",завтракл*G115/1000)</f>
      </c>
      <c r="H116" s="45">
        <f t="shared" si="134"/>
      </c>
      <c r="I116" s="44"/>
      <c r="J116" s="45">
        <f t="shared" si="134"/>
      </c>
      <c r="K116" s="44">
        <f t="shared" si="134"/>
      </c>
      <c r="L116" s="117">
        <f t="shared" si="134"/>
      </c>
      <c r="M116" s="72">
        <f t="shared" si="134"/>
      </c>
      <c r="N116" s="82">
        <f t="shared" si="134"/>
        <v>1.71</v>
      </c>
      <c r="O116" s="46">
        <f aca="true" t="shared" si="135" ref="O116:V116">IF(O115=0,"",обідл*O115/1000)</f>
        <v>0.706</v>
      </c>
      <c r="P116" s="44">
        <f t="shared" si="135"/>
      </c>
      <c r="Q116" s="45">
        <f t="shared" si="135"/>
      </c>
      <c r="R116" s="44">
        <f t="shared" si="135"/>
      </c>
      <c r="S116" s="45">
        <f t="shared" si="135"/>
      </c>
      <c r="T116" s="44">
        <f t="shared" si="135"/>
      </c>
      <c r="U116" s="45">
        <f t="shared" si="135"/>
      </c>
      <c r="V116" s="82">
        <f t="shared" si="135"/>
      </c>
      <c r="W116" s="46">
        <f>IF(W115=0,"",полдникл*W115/1000)</f>
      </c>
      <c r="X116" s="44"/>
      <c r="Y116" s="82">
        <f>IF(Y115=0,"",полдникл*Y115/1000)</f>
      </c>
      <c r="Z116" s="46">
        <f aca="true" t="shared" si="136" ref="Z116:AG116">IF(Z115=0,"",ужинл*Z115/1000)</f>
      </c>
      <c r="AA116" s="45">
        <f t="shared" si="136"/>
      </c>
      <c r="AB116" s="44">
        <f t="shared" si="136"/>
      </c>
      <c r="AC116" s="45">
        <f t="shared" si="136"/>
      </c>
      <c r="AD116" s="44">
        <f t="shared" si="136"/>
      </c>
      <c r="AE116" s="45">
        <f t="shared" si="136"/>
      </c>
      <c r="AF116" s="44">
        <f t="shared" si="136"/>
      </c>
      <c r="AG116" s="82">
        <f t="shared" si="136"/>
      </c>
      <c r="AH116" s="142"/>
      <c r="AI116" s="139"/>
      <c r="AJ116" s="140"/>
      <c r="AK116" s="143"/>
      <c r="AL116" s="143"/>
      <c r="AM116" s="132"/>
      <c r="AN116" s="130"/>
      <c r="AQ116" s="55"/>
      <c r="AR116">
        <v>116</v>
      </c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</row>
    <row r="117" spans="1:129" ht="30.75" customHeight="1">
      <c r="A117" s="156" t="s">
        <v>121</v>
      </c>
      <c r="B117" s="156"/>
      <c r="C117" s="156"/>
      <c r="D117" s="156"/>
      <c r="E117" s="157"/>
      <c r="F117" s="64" t="s">
        <v>95</v>
      </c>
      <c r="G117" s="73">
        <f>VLOOKUP(завтрак1,таб,75,FALSE)</f>
        <v>0</v>
      </c>
      <c r="H117" s="35">
        <f>VLOOKUP(завтрак2,таб,75,FALSE)</f>
        <v>0</v>
      </c>
      <c r="I117" s="36"/>
      <c r="J117" s="35">
        <f>VLOOKUP(завтрак4,таб,75,FALSE)</f>
        <v>0</v>
      </c>
      <c r="K117" s="36">
        <f>VLOOKUP(завтрак5,таб,75,FALSE)</f>
        <v>0</v>
      </c>
      <c r="L117" s="121">
        <f>VLOOKUP(завтрак6,таб,75,FALSE)</f>
        <v>0</v>
      </c>
      <c r="M117" s="71">
        <f>VLOOKUP(завтрак7,таб,75,FALSE)</f>
        <v>0</v>
      </c>
      <c r="N117" s="81">
        <f>VLOOKUP(завтрак8,таб,75,FALSE)</f>
        <v>0</v>
      </c>
      <c r="O117" s="37">
        <f>VLOOKUP(обед1,таб,75,FALSE)</f>
        <v>0</v>
      </c>
      <c r="P117" s="36">
        <f>VLOOKUP(обед2,таб,75,FALSE)</f>
        <v>0</v>
      </c>
      <c r="Q117" s="35">
        <f>VLOOKUP(обед3,таб,75,FALSE)</f>
        <v>0</v>
      </c>
      <c r="R117" s="36">
        <f>VLOOKUP(обед4,таб,75,FALSE)</f>
        <v>0</v>
      </c>
      <c r="S117" s="35">
        <f>VLOOKUP(обед5,таб,75,FALSE)</f>
        <v>0</v>
      </c>
      <c r="T117" s="36">
        <f>VLOOKUP(обед6,таб,75,FALSE)</f>
        <v>0</v>
      </c>
      <c r="U117" s="35">
        <f>VLOOKUP(обед7,таб,75,FALSE)</f>
        <v>0</v>
      </c>
      <c r="V117" s="88">
        <f>VLOOKUP(обед8,таб,75,FALSE)</f>
        <v>0</v>
      </c>
      <c r="W117" s="37">
        <f>VLOOKUP(полдник1,таб,75,FALSE)</f>
        <v>3.8</v>
      </c>
      <c r="X117" s="36"/>
      <c r="Y117" s="88">
        <f>VLOOKUP(полдник3,таб,75,FALSE)</f>
        <v>0</v>
      </c>
      <c r="Z117" s="37">
        <f>VLOOKUP(ужин1,таб,75,FALSE)</f>
        <v>0</v>
      </c>
      <c r="AA117" s="35">
        <f>VLOOKUP(ужин2,таб,75,FALSE)</f>
        <v>0</v>
      </c>
      <c r="AB117" s="36">
        <f>VLOOKUP(ужин3,таб,75,FALSE)</f>
        <v>0</v>
      </c>
      <c r="AC117" s="35">
        <f>VLOOKUP(ужин4,таб,75,FALSE)</f>
        <v>0</v>
      </c>
      <c r="AD117" s="36">
        <f>VLOOKUP(ужин5,таб,75,FALSE)</f>
        <v>0</v>
      </c>
      <c r="AE117" s="35">
        <f>VLOOKUP(ужин6,таб,75,FALSE)</f>
        <v>0</v>
      </c>
      <c r="AF117" s="36">
        <f>VLOOKUP(ужин7,таб,75,FALSE)</f>
        <v>0</v>
      </c>
      <c r="AG117" s="88">
        <f>VLOOKUP(ужин8,таб,75,FALSE)</f>
        <v>0</v>
      </c>
      <c r="AH117" s="141"/>
      <c r="AI117" s="139">
        <f>AK117/сред</f>
        <v>0.0038</v>
      </c>
      <c r="AJ117" s="140"/>
      <c r="AK117" s="143">
        <f>SUM(G118:AG118)</f>
        <v>0.076</v>
      </c>
      <c r="AL117" s="143"/>
      <c r="AM117" s="131">
        <f>IF(AK117=0,0,Таблиця!BX267)</f>
        <v>180</v>
      </c>
      <c r="AN117" s="129">
        <f>AK117*AM117</f>
        <v>13.68</v>
      </c>
      <c r="AQ117" s="91"/>
      <c r="AR117">
        <v>117</v>
      </c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90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90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4"/>
      <c r="DU117" s="54"/>
      <c r="DV117" s="54"/>
      <c r="DW117" s="54"/>
      <c r="DX117" s="54"/>
      <c r="DY117" s="54"/>
    </row>
    <row r="118" spans="1:129" ht="30.75" customHeight="1">
      <c r="A118" s="158"/>
      <c r="B118" s="158"/>
      <c r="C118" s="158"/>
      <c r="D118" s="158"/>
      <c r="E118" s="159"/>
      <c r="F118" s="59" t="s">
        <v>96</v>
      </c>
      <c r="G118" s="74">
        <f aca="true" t="shared" si="137" ref="G118:N118">IF(G117=0,"",завтракл*G117/1000)</f>
      </c>
      <c r="H118" s="47">
        <f t="shared" si="137"/>
      </c>
      <c r="I118" s="43"/>
      <c r="J118" s="47">
        <f t="shared" si="137"/>
      </c>
      <c r="K118" s="43">
        <f t="shared" si="137"/>
      </c>
      <c r="L118" s="118">
        <f t="shared" si="137"/>
      </c>
      <c r="M118" s="72">
        <f t="shared" si="137"/>
      </c>
      <c r="N118" s="82">
        <f t="shared" si="137"/>
      </c>
      <c r="O118" s="48">
        <f aca="true" t="shared" si="138" ref="O118:V118">IF(O117=0,"",обідл*O117/1000)</f>
      </c>
      <c r="P118" s="43">
        <f t="shared" si="138"/>
      </c>
      <c r="Q118" s="47">
        <f t="shared" si="138"/>
      </c>
      <c r="R118" s="43">
        <f t="shared" si="138"/>
      </c>
      <c r="S118" s="47">
        <f t="shared" si="138"/>
      </c>
      <c r="T118" s="43">
        <f t="shared" si="138"/>
      </c>
      <c r="U118" s="47">
        <f t="shared" si="138"/>
      </c>
      <c r="V118" s="85">
        <f t="shared" si="138"/>
      </c>
      <c r="W118" s="48">
        <f>IF(W117=0,"",полдникл*W117/1000)</f>
        <v>0.076</v>
      </c>
      <c r="X118" s="43"/>
      <c r="Y118" s="85">
        <f>IF(Y117=0,"",полдникл*Y117/1000)</f>
      </c>
      <c r="Z118" s="48">
        <f aca="true" t="shared" si="139" ref="Z118:AG118">IF(Z117=0,"",ужинл*Z117/1000)</f>
      </c>
      <c r="AA118" s="47">
        <f t="shared" si="139"/>
      </c>
      <c r="AB118" s="43">
        <f t="shared" si="139"/>
      </c>
      <c r="AC118" s="47">
        <f t="shared" si="139"/>
      </c>
      <c r="AD118" s="43">
        <f t="shared" si="139"/>
      </c>
      <c r="AE118" s="47">
        <f t="shared" si="139"/>
      </c>
      <c r="AF118" s="43">
        <f t="shared" si="139"/>
      </c>
      <c r="AG118" s="85">
        <f t="shared" si="139"/>
      </c>
      <c r="AH118" s="142"/>
      <c r="AI118" s="139"/>
      <c r="AJ118" s="140"/>
      <c r="AK118" s="143"/>
      <c r="AL118" s="143"/>
      <c r="AM118" s="132"/>
      <c r="AN118" s="130"/>
      <c r="AQ118" s="54"/>
      <c r="AR118">
        <v>118</v>
      </c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</row>
    <row r="119" spans="1:129" ht="30.75" customHeight="1">
      <c r="A119" s="163" t="s">
        <v>109</v>
      </c>
      <c r="B119" s="163"/>
      <c r="C119" s="163"/>
      <c r="D119" s="163"/>
      <c r="E119" s="164"/>
      <c r="F119" s="64" t="s">
        <v>95</v>
      </c>
      <c r="G119" s="71">
        <f>VLOOKUP(завтрак1,таб,76,FALSE)</f>
        <v>0</v>
      </c>
      <c r="H119" s="32">
        <f>VLOOKUP(завтрак2,таб,76,FALSE)</f>
        <v>0</v>
      </c>
      <c r="I119" s="33"/>
      <c r="J119" s="32">
        <f>VLOOKUP(завтрак4,таб,76,FALSE)</f>
        <v>0</v>
      </c>
      <c r="K119" s="33">
        <f>VLOOKUP(завтрак5,таб,76,FALSE)</f>
        <v>0</v>
      </c>
      <c r="L119" s="120">
        <f>VLOOKUP(завтрак6,таб,76,FALSE)</f>
        <v>0</v>
      </c>
      <c r="M119" s="71">
        <f>VLOOKUP(завтрак7,таб,76,FALSE)</f>
        <v>0</v>
      </c>
      <c r="N119" s="81">
        <f>VLOOKUP(завтрак8,таб,76,FALSE)</f>
        <v>0</v>
      </c>
      <c r="O119" s="34">
        <f>VLOOKUP(обед1,таб,76,FALSE)</f>
        <v>0</v>
      </c>
      <c r="P119" s="33">
        <f>VLOOKUP(обед2,таб,76,FALSE)</f>
        <v>0</v>
      </c>
      <c r="Q119" s="32">
        <f>VLOOKUP(обед3,таб,76,FALSE)</f>
        <v>0</v>
      </c>
      <c r="R119" s="33">
        <f>VLOOKUP(обед4,таб,76,FALSE)</f>
        <v>0</v>
      </c>
      <c r="S119" s="32">
        <f>VLOOKUP(обед5,таб,76,FALSE)</f>
        <v>0</v>
      </c>
      <c r="T119" s="33">
        <f>VLOOKUP(обед6,таб,76,FALSE)</f>
        <v>0</v>
      </c>
      <c r="U119" s="32">
        <f>VLOOKUP(обед7,таб,76,FALSE)</f>
        <v>0</v>
      </c>
      <c r="V119" s="87">
        <f>VLOOKUP(обед8,таб,76,FALSE)</f>
        <v>0</v>
      </c>
      <c r="W119" s="34">
        <f>VLOOKUP(полдник1,таб,76,FALSE)</f>
        <v>0</v>
      </c>
      <c r="X119" s="33"/>
      <c r="Y119" s="87">
        <f>VLOOKUP(полдник3,таб,76,FALSE)</f>
        <v>0</v>
      </c>
      <c r="Z119" s="34">
        <f>VLOOKUP(ужин1,таб,76,FALSE)</f>
        <v>0</v>
      </c>
      <c r="AA119" s="32">
        <f>VLOOKUP(ужин2,таб,76,FALSE)</f>
        <v>0</v>
      </c>
      <c r="AB119" s="33">
        <f>VLOOKUP(ужин3,таб,76,FALSE)</f>
        <v>0</v>
      </c>
      <c r="AC119" s="32">
        <f>VLOOKUP(ужин4,таб,76,FALSE)</f>
        <v>0</v>
      </c>
      <c r="AD119" s="33">
        <f>VLOOKUP(ужин5,таб,76,FALSE)</f>
        <v>0</v>
      </c>
      <c r="AE119" s="32">
        <f>VLOOKUP(ужин6,таб,76,FALSE)</f>
        <v>0</v>
      </c>
      <c r="AF119" s="33">
        <f>VLOOKUP(ужин7,таб,76,FALSE)</f>
        <v>0</v>
      </c>
      <c r="AG119" s="87">
        <f>VLOOKUP(ужин8,таб,76,FALSE)</f>
        <v>0</v>
      </c>
      <c r="AH119" s="141"/>
      <c r="AI119" s="139">
        <f>AK119/сред</f>
        <v>0</v>
      </c>
      <c r="AJ119" s="140"/>
      <c r="AK119" s="143">
        <f>SUM(G120:AG120)</f>
        <v>0</v>
      </c>
      <c r="AL119" s="143"/>
      <c r="AM119" s="131">
        <f>IF(AK119=0,0,Таблиця!EI267)</f>
        <v>0</v>
      </c>
      <c r="AN119" s="129">
        <f>AK119*AM119</f>
        <v>0</v>
      </c>
      <c r="AQ119" s="54"/>
      <c r="AR119">
        <v>119</v>
      </c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</row>
    <row r="120" spans="1:129" ht="30.75" customHeight="1">
      <c r="A120" s="163"/>
      <c r="B120" s="163"/>
      <c r="C120" s="163"/>
      <c r="D120" s="163"/>
      <c r="E120" s="164"/>
      <c r="F120" s="59" t="s">
        <v>96</v>
      </c>
      <c r="G120" s="72">
        <f aca="true" t="shared" si="140" ref="G120:N120">IF(G119=0,"",завтракл*G119/1000)</f>
      </c>
      <c r="H120" s="45">
        <f t="shared" si="140"/>
      </c>
      <c r="I120" s="44"/>
      <c r="J120" s="45">
        <f t="shared" si="140"/>
      </c>
      <c r="K120" s="44">
        <f t="shared" si="140"/>
      </c>
      <c r="L120" s="117">
        <f t="shared" si="140"/>
      </c>
      <c r="M120" s="72">
        <f t="shared" si="140"/>
      </c>
      <c r="N120" s="82">
        <f t="shared" si="140"/>
      </c>
      <c r="O120" s="46">
        <f aca="true" t="shared" si="141" ref="O120:V120">IF(O119=0,"",обідл*O119/1000)</f>
      </c>
      <c r="P120" s="44">
        <f t="shared" si="141"/>
      </c>
      <c r="Q120" s="45">
        <f t="shared" si="141"/>
      </c>
      <c r="R120" s="44">
        <f t="shared" si="141"/>
      </c>
      <c r="S120" s="45">
        <f t="shared" si="141"/>
      </c>
      <c r="T120" s="44">
        <f t="shared" si="141"/>
      </c>
      <c r="U120" s="45">
        <f t="shared" si="141"/>
      </c>
      <c r="V120" s="82">
        <f t="shared" si="141"/>
      </c>
      <c r="W120" s="46">
        <f>IF(W119=0,"",полдникл*W119/1000)</f>
      </c>
      <c r="X120" s="44"/>
      <c r="Y120" s="82">
        <f>IF(Y119=0,"",полдникл*Y119/1000)</f>
      </c>
      <c r="Z120" s="46">
        <f aca="true" t="shared" si="142" ref="Z120:AG120">IF(Z119=0,"",ужинл*Z119/1000)</f>
      </c>
      <c r="AA120" s="45">
        <f t="shared" si="142"/>
      </c>
      <c r="AB120" s="44">
        <f t="shared" si="142"/>
      </c>
      <c r="AC120" s="45">
        <f t="shared" si="142"/>
      </c>
      <c r="AD120" s="44">
        <f t="shared" si="142"/>
      </c>
      <c r="AE120" s="45">
        <f t="shared" si="142"/>
      </c>
      <c r="AF120" s="44">
        <f t="shared" si="142"/>
      </c>
      <c r="AG120" s="82">
        <f t="shared" si="142"/>
      </c>
      <c r="AH120" s="142"/>
      <c r="AI120" s="139"/>
      <c r="AJ120" s="140"/>
      <c r="AK120" s="143"/>
      <c r="AL120" s="143"/>
      <c r="AM120" s="132"/>
      <c r="AN120" s="130"/>
      <c r="AQ120" s="54"/>
      <c r="AR120">
        <v>120</v>
      </c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</row>
    <row r="121" spans="1:129" ht="30.75" customHeight="1">
      <c r="A121" s="156" t="s">
        <v>104</v>
      </c>
      <c r="B121" s="156"/>
      <c r="C121" s="156"/>
      <c r="D121" s="156"/>
      <c r="E121" s="157"/>
      <c r="F121" s="64" t="s">
        <v>95</v>
      </c>
      <c r="G121" s="73">
        <f>VLOOKUP(завтрак1,таб,77,FALSE)</f>
        <v>0</v>
      </c>
      <c r="H121" s="35">
        <f>VLOOKUP(завтрак2,таб,77,FALSE)</f>
        <v>0</v>
      </c>
      <c r="I121" s="36"/>
      <c r="J121" s="35">
        <f>VLOOKUP(завтрак4,таб,77,FALSE)</f>
        <v>0</v>
      </c>
      <c r="K121" s="36">
        <f>VLOOKUP(завтрак5,таб,77,FALSE)</f>
        <v>0</v>
      </c>
      <c r="L121" s="121">
        <f>VLOOKUP(завтрак6,таб,77,FALSE)</f>
        <v>0</v>
      </c>
      <c r="M121" s="71">
        <f>VLOOKUP(завтрак7,таб,77,FALSE)</f>
        <v>0</v>
      </c>
      <c r="N121" s="81">
        <f>VLOOKUP(завтрак8,таб,77,FALSE)</f>
        <v>0</v>
      </c>
      <c r="O121" s="37">
        <f>VLOOKUP(обед1,таб,77,FALSE)</f>
        <v>0</v>
      </c>
      <c r="P121" s="36">
        <f>VLOOKUP(обед2,таб,77,FALSE)</f>
        <v>0</v>
      </c>
      <c r="Q121" s="35">
        <f>VLOOKUP(обед3,таб,77,FALSE)</f>
        <v>0</v>
      </c>
      <c r="R121" s="36">
        <f>VLOOKUP(обед4,таб,77,FALSE)</f>
        <v>0</v>
      </c>
      <c r="S121" s="35">
        <f>VLOOKUP(обед5,таб,77,FALSE)</f>
        <v>0</v>
      </c>
      <c r="T121" s="36">
        <f>VLOOKUP(обед6,таб,77,FALSE)</f>
        <v>0</v>
      </c>
      <c r="U121" s="35">
        <f>VLOOKUP(обед7,таб,77,FALSE)</f>
        <v>0</v>
      </c>
      <c r="V121" s="88">
        <f>VLOOKUP(обед8,таб,77,FALSE)</f>
        <v>0</v>
      </c>
      <c r="W121" s="37">
        <f>VLOOKUP(полдник1,таб,77,FALSE)</f>
        <v>0</v>
      </c>
      <c r="X121" s="36"/>
      <c r="Y121" s="88">
        <f>VLOOKUP(полдник3,таб,77,FALSE)</f>
        <v>0</v>
      </c>
      <c r="Z121" s="37">
        <f>VLOOKUP(ужин1,таб,77,FALSE)</f>
        <v>0</v>
      </c>
      <c r="AA121" s="35">
        <f>VLOOKUP(ужин2,таб,77,FALSE)</f>
        <v>0</v>
      </c>
      <c r="AB121" s="36">
        <f>VLOOKUP(ужин3,таб,77,FALSE)</f>
        <v>0</v>
      </c>
      <c r="AC121" s="35">
        <f>VLOOKUP(ужин4,таб,77,FALSE)</f>
        <v>0</v>
      </c>
      <c r="AD121" s="36">
        <f>VLOOKUP(ужин5,таб,77,FALSE)</f>
        <v>0</v>
      </c>
      <c r="AE121" s="35">
        <f>VLOOKUP(ужин6,таб,77,FALSE)</f>
        <v>0</v>
      </c>
      <c r="AF121" s="36">
        <f>VLOOKUP(ужин7,таб,77,FALSE)</f>
        <v>0</v>
      </c>
      <c r="AG121" s="88">
        <f>VLOOKUP(ужин8,таб,77,FALSE)</f>
        <v>0</v>
      </c>
      <c r="AH121" s="141"/>
      <c r="AI121" s="139">
        <f>AK121/сред</f>
        <v>0</v>
      </c>
      <c r="AJ121" s="140"/>
      <c r="AK121" s="143">
        <f>SUM(G122:AG122)</f>
        <v>0</v>
      </c>
      <c r="AL121" s="143"/>
      <c r="AM121" s="131">
        <f>IF(AK121=0,0,Таблиця!BZ267)</f>
        <v>0</v>
      </c>
      <c r="AN121" s="129">
        <f>AK121*AM121</f>
        <v>0</v>
      </c>
      <c r="AQ121" s="55"/>
      <c r="AR121">
        <v>121</v>
      </c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99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4"/>
    </row>
    <row r="122" spans="1:129" ht="30.75" customHeight="1">
      <c r="A122" s="158"/>
      <c r="B122" s="158"/>
      <c r="C122" s="158"/>
      <c r="D122" s="158"/>
      <c r="E122" s="159"/>
      <c r="F122" s="59" t="s">
        <v>96</v>
      </c>
      <c r="G122" s="74">
        <f aca="true" t="shared" si="143" ref="G122:N122">IF(G121=0,"",завтракл*G121/1000)</f>
      </c>
      <c r="H122" s="47">
        <f t="shared" si="143"/>
      </c>
      <c r="I122" s="43"/>
      <c r="J122" s="47">
        <f t="shared" si="143"/>
      </c>
      <c r="K122" s="43">
        <f t="shared" si="143"/>
      </c>
      <c r="L122" s="118">
        <f t="shared" si="143"/>
      </c>
      <c r="M122" s="72">
        <f t="shared" si="143"/>
      </c>
      <c r="N122" s="82">
        <f t="shared" si="143"/>
      </c>
      <c r="O122" s="48">
        <f aca="true" t="shared" si="144" ref="O122:V122">IF(O121=0,"",обідл*O121/1000)</f>
      </c>
      <c r="P122" s="43">
        <f t="shared" si="144"/>
      </c>
      <c r="Q122" s="47">
        <f t="shared" si="144"/>
      </c>
      <c r="R122" s="43">
        <f t="shared" si="144"/>
      </c>
      <c r="S122" s="47">
        <f t="shared" si="144"/>
      </c>
      <c r="T122" s="43">
        <f t="shared" si="144"/>
      </c>
      <c r="U122" s="47">
        <f t="shared" si="144"/>
      </c>
      <c r="V122" s="85">
        <f t="shared" si="144"/>
      </c>
      <c r="W122" s="48">
        <f>IF(W121=0,"",полдникл*W121/1000)</f>
      </c>
      <c r="X122" s="43"/>
      <c r="Y122" s="85">
        <f>IF(Y121=0,"",полдникл*Y121/1000)</f>
      </c>
      <c r="Z122" s="48">
        <f aca="true" t="shared" si="145" ref="Z122:AG122">IF(Z121=0,"",ужинл*Z121/1000)</f>
      </c>
      <c r="AA122" s="47">
        <f t="shared" si="145"/>
      </c>
      <c r="AB122" s="43">
        <f t="shared" si="145"/>
      </c>
      <c r="AC122" s="47">
        <f t="shared" si="145"/>
      </c>
      <c r="AD122" s="43">
        <f t="shared" si="145"/>
      </c>
      <c r="AE122" s="47">
        <f t="shared" si="145"/>
      </c>
      <c r="AF122" s="43">
        <f t="shared" si="145"/>
      </c>
      <c r="AG122" s="85">
        <f t="shared" si="145"/>
      </c>
      <c r="AH122" s="142"/>
      <c r="AI122" s="139"/>
      <c r="AJ122" s="140"/>
      <c r="AK122" s="143"/>
      <c r="AL122" s="143"/>
      <c r="AM122" s="132"/>
      <c r="AN122" s="130"/>
      <c r="AQ122" s="54"/>
      <c r="AR122">
        <v>122</v>
      </c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5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</row>
    <row r="123" spans="1:129" ht="30.75" customHeight="1">
      <c r="A123" s="163" t="s">
        <v>101</v>
      </c>
      <c r="B123" s="163"/>
      <c r="C123" s="163"/>
      <c r="D123" s="163"/>
      <c r="E123" s="164"/>
      <c r="F123" s="64" t="s">
        <v>95</v>
      </c>
      <c r="G123" s="71">
        <f>VLOOKUP(завтрак1,таб,86,FALSE)</f>
        <v>0</v>
      </c>
      <c r="H123" s="32">
        <f>VLOOKUP(завтрак2,таб,86,FALSE)</f>
        <v>0</v>
      </c>
      <c r="I123" s="33"/>
      <c r="J123" s="32">
        <f>VLOOKUP(завтрак4,таб,86,FALSE)</f>
        <v>0</v>
      </c>
      <c r="K123" s="33">
        <f>VLOOKUP(завтрак5,таб,86,FALSE)</f>
        <v>0</v>
      </c>
      <c r="L123" s="120">
        <f>VLOOKUP(завтрак6,таб,86,FALSE)</f>
        <v>0</v>
      </c>
      <c r="M123" s="71">
        <f>VLOOKUP(завтрак7,таб,86,FALSE)</f>
        <v>0</v>
      </c>
      <c r="N123" s="81">
        <f>VLOOKUP(завтрак8,таб,86,FALSE)</f>
        <v>0</v>
      </c>
      <c r="O123" s="34">
        <f>VLOOKUP(обед1,таб,86,FALSE)</f>
        <v>0</v>
      </c>
      <c r="P123" s="33">
        <f>VLOOKUP(обед2,таб,86,FALSE)</f>
        <v>0</v>
      </c>
      <c r="Q123" s="32">
        <f>VLOOKUP(обед3,таб,86,FALSE)</f>
        <v>0</v>
      </c>
      <c r="R123" s="33">
        <f>VLOOKUP(обед4,таб,86,FALSE)</f>
        <v>0</v>
      </c>
      <c r="S123" s="32">
        <f>VLOOKUP(обед5,таб,86,FALSE)</f>
        <v>0</v>
      </c>
      <c r="T123" s="33">
        <f>VLOOKUP(обед6,таб,86,FALSE)</f>
        <v>0</v>
      </c>
      <c r="U123" s="32">
        <f>VLOOKUP(обед7,таб,86,FALSE)</f>
        <v>0</v>
      </c>
      <c r="V123" s="87">
        <f>VLOOKUP(обед8,таб,86,FALSE)</f>
        <v>0</v>
      </c>
      <c r="W123" s="34">
        <f>VLOOKUP(полдник1,таб,86,FALSE)</f>
        <v>0</v>
      </c>
      <c r="X123" s="33"/>
      <c r="Y123" s="87">
        <f>VLOOKUP(полдник3,таб,86,FALSE)</f>
        <v>0</v>
      </c>
      <c r="Z123" s="34">
        <f>VLOOKUP(ужин1,таб,86,FALSE)</f>
        <v>0</v>
      </c>
      <c r="AA123" s="32">
        <f>VLOOKUP(ужин2,таб,86,FALSE)</f>
        <v>0</v>
      </c>
      <c r="AB123" s="33">
        <f>VLOOKUP(ужин3,таб,86,FALSE)</f>
        <v>0</v>
      </c>
      <c r="AC123" s="32">
        <f>VLOOKUP(ужин4,таб,86,FALSE)</f>
        <v>0</v>
      </c>
      <c r="AD123" s="33">
        <f>VLOOKUP(ужин5,таб,86,FALSE)</f>
        <v>0</v>
      </c>
      <c r="AE123" s="32">
        <f>VLOOKUP(ужин6,таб,86,FALSE)</f>
        <v>0</v>
      </c>
      <c r="AF123" s="33">
        <f>VLOOKUP(ужин7,таб,86,FALSE)</f>
        <v>0</v>
      </c>
      <c r="AG123" s="87">
        <f>VLOOKUP(ужин8,таб,86,FALSE)</f>
        <v>0</v>
      </c>
      <c r="AH123" s="141"/>
      <c r="AI123" s="139">
        <f>AK123/сред</f>
        <v>0</v>
      </c>
      <c r="AJ123" s="140"/>
      <c r="AK123" s="143">
        <f>SUM(G124:AG124)</f>
        <v>0</v>
      </c>
      <c r="AL123" s="143"/>
      <c r="AM123" s="131">
        <f>IF(AK123=0,0,Таблиця!CI267)</f>
        <v>0</v>
      </c>
      <c r="AN123" s="129">
        <f>AK123*AM123</f>
        <v>0</v>
      </c>
      <c r="AQ123" s="54"/>
      <c r="AR123">
        <v>123</v>
      </c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</row>
    <row r="124" spans="1:129" ht="30.75" customHeight="1">
      <c r="A124" s="163"/>
      <c r="B124" s="163"/>
      <c r="C124" s="163"/>
      <c r="D124" s="163"/>
      <c r="E124" s="164"/>
      <c r="F124" s="59" t="s">
        <v>96</v>
      </c>
      <c r="G124" s="72">
        <f aca="true" t="shared" si="146" ref="G124:N124">IF(G123=0,"",завтракл*G123/1000)</f>
      </c>
      <c r="H124" s="45">
        <f t="shared" si="146"/>
      </c>
      <c r="I124" s="44"/>
      <c r="J124" s="45">
        <f t="shared" si="146"/>
      </c>
      <c r="K124" s="44">
        <f t="shared" si="146"/>
      </c>
      <c r="L124" s="117">
        <f t="shared" si="146"/>
      </c>
      <c r="M124" s="72">
        <f t="shared" si="146"/>
      </c>
      <c r="N124" s="82">
        <f t="shared" si="146"/>
      </c>
      <c r="O124" s="46">
        <f aca="true" t="shared" si="147" ref="O124:V124">IF(O123=0,"",обідл*O123/1000)</f>
      </c>
      <c r="P124" s="44">
        <f t="shared" si="147"/>
      </c>
      <c r="Q124" s="45">
        <f t="shared" si="147"/>
      </c>
      <c r="R124" s="44">
        <f t="shared" si="147"/>
      </c>
      <c r="S124" s="45">
        <f t="shared" si="147"/>
      </c>
      <c r="T124" s="44">
        <f t="shared" si="147"/>
      </c>
      <c r="U124" s="45">
        <f t="shared" si="147"/>
      </c>
      <c r="V124" s="82">
        <f t="shared" si="147"/>
      </c>
      <c r="W124" s="46">
        <f>IF(W123=0,"",полдникл*W123/1000)</f>
      </c>
      <c r="X124" s="44"/>
      <c r="Y124" s="82">
        <f>IF(Y123=0,"",полдникл*Y123/1000)</f>
      </c>
      <c r="Z124" s="46">
        <f aca="true" t="shared" si="148" ref="Z124:AG124">IF(Z123=0,"",ужинл*Z123/1000)</f>
      </c>
      <c r="AA124" s="45">
        <f t="shared" si="148"/>
      </c>
      <c r="AB124" s="44">
        <f t="shared" si="148"/>
      </c>
      <c r="AC124" s="45">
        <f t="shared" si="148"/>
      </c>
      <c r="AD124" s="44">
        <f t="shared" si="148"/>
      </c>
      <c r="AE124" s="45">
        <f t="shared" si="148"/>
      </c>
      <c r="AF124" s="44">
        <f t="shared" si="148"/>
      </c>
      <c r="AG124" s="82">
        <f t="shared" si="148"/>
      </c>
      <c r="AH124" s="142"/>
      <c r="AI124" s="139"/>
      <c r="AJ124" s="140"/>
      <c r="AK124" s="143"/>
      <c r="AL124" s="143"/>
      <c r="AM124" s="132"/>
      <c r="AN124" s="130"/>
      <c r="AQ124" s="54"/>
      <c r="AR124">
        <v>124</v>
      </c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</row>
    <row r="125" spans="1:129" ht="30.75" customHeight="1">
      <c r="A125" s="156" t="s">
        <v>37</v>
      </c>
      <c r="B125" s="156"/>
      <c r="C125" s="156"/>
      <c r="D125" s="156"/>
      <c r="E125" s="157"/>
      <c r="F125" s="64" t="s">
        <v>95</v>
      </c>
      <c r="G125" s="73">
        <f>VLOOKUP(завтрак1,таб,43,FALSE)</f>
        <v>0</v>
      </c>
      <c r="H125" s="35">
        <f>VLOOKUP(завтрак2,таб,43,FALSE)</f>
        <v>0</v>
      </c>
      <c r="I125" s="36"/>
      <c r="J125" s="35">
        <f>VLOOKUP(завтрак4,таб,43,FALSE)</f>
        <v>0</v>
      </c>
      <c r="K125" s="36">
        <f>VLOOKUP(завтрак5,таб,43,FALSE)</f>
        <v>0</v>
      </c>
      <c r="L125" s="121">
        <f>VLOOKUP(завтрак6,таб,43,FALSE)</f>
        <v>0</v>
      </c>
      <c r="M125" s="71">
        <f>VLOOKUP(завтрак7,таб,43,FALSE)</f>
        <v>0</v>
      </c>
      <c r="N125" s="81">
        <f>VLOOKUP(завтрак8,таб,43,FALSE)</f>
        <v>0</v>
      </c>
      <c r="O125" s="37">
        <f>VLOOKUP(обед1,таб,43,FALSE)</f>
        <v>0</v>
      </c>
      <c r="P125" s="36">
        <f>VLOOKUP(обед2,таб,43,FALSE)</f>
        <v>66.5</v>
      </c>
      <c r="Q125" s="35">
        <v>112.5</v>
      </c>
      <c r="R125" s="36">
        <f>VLOOKUP(обед4,таб,43,FALSE)</f>
        <v>0</v>
      </c>
      <c r="S125" s="35">
        <f>VLOOKUP(обед5,таб,43,FALSE)</f>
        <v>0</v>
      </c>
      <c r="T125" s="36">
        <f>VLOOKUP(обед6,таб,43,FALSE)</f>
        <v>0</v>
      </c>
      <c r="U125" s="35">
        <f>VLOOKUP(обед7,таб,43,FALSE)</f>
        <v>0</v>
      </c>
      <c r="V125" s="88">
        <f>VLOOKUP(обед8,таб,43,FALSE)</f>
        <v>0</v>
      </c>
      <c r="W125" s="37">
        <f>VLOOKUP(полдник1,таб,43,FALSE)</f>
        <v>0</v>
      </c>
      <c r="X125" s="36"/>
      <c r="Y125" s="88">
        <f>VLOOKUP(полдник3,таб,43,FALSE)</f>
        <v>0</v>
      </c>
      <c r="Z125" s="37">
        <f>VLOOKUP(ужин1,таб,43,FALSE)</f>
        <v>0</v>
      </c>
      <c r="AA125" s="35">
        <f>VLOOKUP(ужин2,таб,43,FALSE)</f>
        <v>120</v>
      </c>
      <c r="AB125" s="36">
        <f>VLOOKUP(ужин3,таб,43,FALSE)</f>
        <v>0</v>
      </c>
      <c r="AC125" s="35">
        <f>VLOOKUP(ужин4,таб,43,FALSE)</f>
        <v>0</v>
      </c>
      <c r="AD125" s="36">
        <f>VLOOKUP(ужин5,таб,43,FALSE)</f>
        <v>0</v>
      </c>
      <c r="AE125" s="35">
        <f>VLOOKUP(ужин6,таб,43,FALSE)</f>
        <v>0</v>
      </c>
      <c r="AF125" s="36">
        <f>VLOOKUP(ужин7,таб,43,FALSE)</f>
        <v>0</v>
      </c>
      <c r="AG125" s="88">
        <f>VLOOKUP(ужин8,таб,43,FALSE)</f>
        <v>0</v>
      </c>
      <c r="AH125" s="141">
        <v>615078</v>
      </c>
      <c r="AI125" s="139">
        <f>AK125/сред</f>
        <v>0.29900000000000004</v>
      </c>
      <c r="AJ125" s="140"/>
      <c r="AK125" s="143">
        <f>SUM(G126:AG126)</f>
        <v>5.98</v>
      </c>
      <c r="AL125" s="143"/>
      <c r="AM125" s="131">
        <f>IF(AK125=0,0,Таблиця!AR267)</f>
        <v>8</v>
      </c>
      <c r="AN125" s="129">
        <f>AK125*AM125</f>
        <v>47.84</v>
      </c>
      <c r="AQ125" s="54"/>
      <c r="AR125">
        <v>125</v>
      </c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</row>
    <row r="126" spans="1:129" ht="30.75" customHeight="1">
      <c r="A126" s="158"/>
      <c r="B126" s="158"/>
      <c r="C126" s="158"/>
      <c r="D126" s="158"/>
      <c r="E126" s="159"/>
      <c r="F126" s="59" t="s">
        <v>96</v>
      </c>
      <c r="G126" s="74">
        <f aca="true" t="shared" si="149" ref="G126:N126">IF(G125=0,"",завтракл*G125/1000)</f>
      </c>
      <c r="H126" s="47">
        <f t="shared" si="149"/>
      </c>
      <c r="I126" s="43"/>
      <c r="J126" s="47">
        <f t="shared" si="149"/>
      </c>
      <c r="K126" s="43">
        <f t="shared" si="149"/>
      </c>
      <c r="L126" s="118">
        <f t="shared" si="149"/>
      </c>
      <c r="M126" s="72">
        <f t="shared" si="149"/>
      </c>
      <c r="N126" s="82">
        <f t="shared" si="149"/>
      </c>
      <c r="O126" s="48">
        <f aca="true" t="shared" si="150" ref="O126:V126">IF(O125=0,"",обідл*O125/1000)</f>
      </c>
      <c r="P126" s="43">
        <f t="shared" si="150"/>
        <v>1.33</v>
      </c>
      <c r="Q126" s="47">
        <f t="shared" si="150"/>
        <v>2.25</v>
      </c>
      <c r="R126" s="43">
        <f t="shared" si="150"/>
      </c>
      <c r="S126" s="47">
        <f t="shared" si="150"/>
      </c>
      <c r="T126" s="43">
        <f t="shared" si="150"/>
      </c>
      <c r="U126" s="47">
        <f t="shared" si="150"/>
      </c>
      <c r="V126" s="85">
        <f t="shared" si="150"/>
      </c>
      <c r="W126" s="48">
        <f>IF(W125=0,"",полдникл*W125/1000)</f>
      </c>
      <c r="X126" s="43"/>
      <c r="Y126" s="85">
        <f>IF(Y125=0,"",полдникл*Y125/1000)</f>
      </c>
      <c r="Z126" s="48">
        <f aca="true" t="shared" si="151" ref="Z126:AG126">IF(Z125=0,"",ужинл*Z125/1000)</f>
      </c>
      <c r="AA126" s="47">
        <f>IF(AA125=0,"",ужинл*AA125/1000)</f>
        <v>2.4</v>
      </c>
      <c r="AB126" s="43">
        <f t="shared" si="151"/>
      </c>
      <c r="AC126" s="47">
        <f t="shared" si="151"/>
      </c>
      <c r="AD126" s="43">
        <f t="shared" si="151"/>
      </c>
      <c r="AE126" s="47">
        <f t="shared" si="151"/>
      </c>
      <c r="AF126" s="43">
        <f t="shared" si="151"/>
      </c>
      <c r="AG126" s="85">
        <f t="shared" si="151"/>
      </c>
      <c r="AH126" s="142"/>
      <c r="AI126" s="139"/>
      <c r="AJ126" s="140"/>
      <c r="AK126" s="143"/>
      <c r="AL126" s="143"/>
      <c r="AM126" s="132"/>
      <c r="AN126" s="130"/>
      <c r="AQ126" s="54"/>
      <c r="AR126">
        <v>126</v>
      </c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</row>
    <row r="127" spans="1:127" ht="30.75" customHeight="1">
      <c r="A127" s="163" t="s">
        <v>117</v>
      </c>
      <c r="B127" s="163"/>
      <c r="C127" s="163"/>
      <c r="D127" s="163"/>
      <c r="E127" s="164"/>
      <c r="F127" s="64" t="s">
        <v>95</v>
      </c>
      <c r="G127" s="71">
        <f>VLOOKUP(завтрак1,таб,44,FALSE)</f>
        <v>0</v>
      </c>
      <c r="H127" s="32">
        <f>VLOOKUP(завтрак2,таб,44,FALSE)</f>
        <v>0</v>
      </c>
      <c r="I127" s="33"/>
      <c r="J127" s="32">
        <f>VLOOKUP(завтрак4,таб,44,FALSE)</f>
        <v>0</v>
      </c>
      <c r="K127" s="33">
        <f>VLOOKUP(завтрак5,таб,44,FALSE)</f>
        <v>0</v>
      </c>
      <c r="L127" s="120">
        <f>VLOOKUP(завтрак6,таб,44,FALSE)</f>
        <v>0</v>
      </c>
      <c r="M127" s="71">
        <f>VLOOKUP(завтрак7,таб,44,FALSE)</f>
        <v>0</v>
      </c>
      <c r="N127" s="81">
        <f>VLOOKUP(завтрак8,таб,44,FALSE)</f>
        <v>0</v>
      </c>
      <c r="O127" s="34">
        <f>VLOOKUP(обед1,таб,44,FALSE)</f>
        <v>0</v>
      </c>
      <c r="P127" s="33">
        <f>VLOOKUP(обед2,таб,44,FALSE)</f>
        <v>0</v>
      </c>
      <c r="Q127" s="32">
        <f>VLOOKUP(обед3,таб,44,FALSE)</f>
        <v>0</v>
      </c>
      <c r="R127" s="33">
        <f>VLOOKUP(обед4,таб,44,FALSE)</f>
        <v>0</v>
      </c>
      <c r="S127" s="32">
        <f>VLOOKUP(обед5,таб,44,FALSE)</f>
        <v>0</v>
      </c>
      <c r="T127" s="33">
        <f>VLOOKUP(обед6,таб,44,FALSE)</f>
        <v>0</v>
      </c>
      <c r="U127" s="32">
        <f>VLOOKUP(обед7,таб,44,FALSE)</f>
        <v>0</v>
      </c>
      <c r="V127" s="87">
        <f>VLOOKUP(обед8,таб,44,FALSE)</f>
        <v>0</v>
      </c>
      <c r="W127" s="34">
        <f>VLOOKUP(полдник1,таб,44,FALSE)</f>
        <v>0</v>
      </c>
      <c r="X127" s="33"/>
      <c r="Y127" s="87">
        <f>VLOOKUP(полдник3,таб,44,FALSE)</f>
        <v>0</v>
      </c>
      <c r="Z127" s="34">
        <f>VLOOKUP(ужин1,таб,44,FALSE)</f>
        <v>26.3</v>
      </c>
      <c r="AA127" s="32">
        <f>VLOOKUP(ужин2,таб,44,FALSE)</f>
        <v>0</v>
      </c>
      <c r="AB127" s="33">
        <f>VLOOKUP(ужин3,таб,44,FALSE)</f>
        <v>0</v>
      </c>
      <c r="AC127" s="32">
        <f>VLOOKUP(ужин4,таб,44,FALSE)</f>
        <v>0</v>
      </c>
      <c r="AD127" s="33">
        <f>VLOOKUP(ужин5,таб,44,FALSE)</f>
        <v>0</v>
      </c>
      <c r="AE127" s="32">
        <f>VLOOKUP(ужин6,таб,44,FALSE)</f>
        <v>0</v>
      </c>
      <c r="AF127" s="33">
        <f>VLOOKUP(ужин7,таб,44,FALSE)</f>
        <v>0</v>
      </c>
      <c r="AG127" s="87">
        <f>VLOOKUP(ужин8,таб,44,FALSE)</f>
        <v>0</v>
      </c>
      <c r="AH127" s="141">
        <v>615079</v>
      </c>
      <c r="AI127" s="139">
        <f>AK127/сред</f>
        <v>0.0263</v>
      </c>
      <c r="AJ127" s="140"/>
      <c r="AK127" s="143">
        <f>SUM(G128:AG128)</f>
        <v>0.526</v>
      </c>
      <c r="AL127" s="143"/>
      <c r="AM127" s="131">
        <f>IF(AK127=0,0,Таблиця!AS267)</f>
        <v>14</v>
      </c>
      <c r="AN127" s="129">
        <f>AK127*AM127</f>
        <v>7.364000000000001</v>
      </c>
      <c r="AQ127" s="54"/>
      <c r="AR127">
        <v>127</v>
      </c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</row>
    <row r="128" spans="1:127" ht="30.75" customHeight="1">
      <c r="A128" s="163"/>
      <c r="B128" s="163"/>
      <c r="C128" s="163"/>
      <c r="D128" s="163"/>
      <c r="E128" s="164"/>
      <c r="F128" s="59" t="s">
        <v>96</v>
      </c>
      <c r="G128" s="72">
        <f aca="true" t="shared" si="152" ref="G128:N128">IF(G127=0,"",завтракл*G127/1000)</f>
      </c>
      <c r="H128" s="45">
        <f t="shared" si="152"/>
      </c>
      <c r="I128" s="44"/>
      <c r="J128" s="45">
        <f t="shared" si="152"/>
      </c>
      <c r="K128" s="44">
        <f t="shared" si="152"/>
      </c>
      <c r="L128" s="117">
        <f t="shared" si="152"/>
      </c>
      <c r="M128" s="72">
        <f t="shared" si="152"/>
      </c>
      <c r="N128" s="82">
        <f t="shared" si="152"/>
      </c>
      <c r="O128" s="46">
        <f aca="true" t="shared" si="153" ref="O128:V128">IF(O127=0,"",обідл*O127/1000)</f>
      </c>
      <c r="P128" s="44">
        <f t="shared" si="153"/>
      </c>
      <c r="Q128" s="45">
        <f t="shared" si="153"/>
      </c>
      <c r="R128" s="44">
        <f t="shared" si="153"/>
      </c>
      <c r="S128" s="45">
        <f t="shared" si="153"/>
      </c>
      <c r="T128" s="44">
        <f t="shared" si="153"/>
      </c>
      <c r="U128" s="45">
        <f t="shared" si="153"/>
      </c>
      <c r="V128" s="82">
        <f t="shared" si="153"/>
      </c>
      <c r="W128" s="46">
        <f>IF(W127=0,"",полдникл*W127/1000)</f>
      </c>
      <c r="X128" s="44"/>
      <c r="Y128" s="82">
        <f>IF(Y127=0,"",полдникл*Y127/1000)</f>
      </c>
      <c r="Z128" s="46">
        <f aca="true" t="shared" si="154" ref="Z128:AG128">IF(Z127=0,"",ужинл*Z127/1000)</f>
        <v>0.526</v>
      </c>
      <c r="AA128" s="45">
        <f t="shared" si="154"/>
      </c>
      <c r="AB128" s="44">
        <f t="shared" si="154"/>
      </c>
      <c r="AC128" s="45">
        <f t="shared" si="154"/>
      </c>
      <c r="AD128" s="44">
        <f t="shared" si="154"/>
      </c>
      <c r="AE128" s="45">
        <f t="shared" si="154"/>
      </c>
      <c r="AF128" s="44">
        <f t="shared" si="154"/>
      </c>
      <c r="AG128" s="82">
        <f t="shared" si="154"/>
      </c>
      <c r="AH128" s="142"/>
      <c r="AI128" s="139"/>
      <c r="AJ128" s="140"/>
      <c r="AK128" s="143"/>
      <c r="AL128" s="143"/>
      <c r="AM128" s="132"/>
      <c r="AN128" s="130"/>
      <c r="AQ128" s="54"/>
      <c r="AR128">
        <v>128</v>
      </c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</row>
    <row r="129" spans="1:127" ht="30.75" customHeight="1">
      <c r="A129" s="156" t="s">
        <v>38</v>
      </c>
      <c r="B129" s="156"/>
      <c r="C129" s="156"/>
      <c r="D129" s="156"/>
      <c r="E129" s="157"/>
      <c r="F129" s="64" t="s">
        <v>95</v>
      </c>
      <c r="G129" s="73">
        <f>VLOOKUP(завтрак1,таб,45,FALSE)</f>
        <v>0</v>
      </c>
      <c r="H129" s="35">
        <f>VLOOKUP(завтрак2,таб,45,FALSE)</f>
        <v>17</v>
      </c>
      <c r="I129" s="36"/>
      <c r="J129" s="35">
        <f>VLOOKUP(завтрак4,таб,45,FALSE)</f>
        <v>0</v>
      </c>
      <c r="K129" s="36">
        <f>VLOOKUP(завтрак5,таб,45,FALSE)</f>
        <v>0</v>
      </c>
      <c r="L129" s="121">
        <f>VLOOKUP(завтрак6,таб,45,FALSE)</f>
        <v>0</v>
      </c>
      <c r="M129" s="71">
        <f>VLOOKUP(завтрак7,таб,45,FALSE)</f>
        <v>0</v>
      </c>
      <c r="N129" s="81">
        <f>VLOOKUP(завтрак8,таб,45,FALSE)</f>
        <v>0</v>
      </c>
      <c r="O129" s="37">
        <f>VLOOKUP(обед1,таб,45,FALSE)</f>
        <v>0</v>
      </c>
      <c r="P129" s="36">
        <f>VLOOKUP(обед2,таб,45,FALSE)</f>
        <v>12</v>
      </c>
      <c r="Q129" s="35">
        <v>18</v>
      </c>
      <c r="R129" s="36">
        <f>VLOOKUP(обед4,таб,45,FALSE)</f>
        <v>0</v>
      </c>
      <c r="S129" s="35">
        <f>VLOOKUP(обед5,таб,45,FALSE)</f>
        <v>0</v>
      </c>
      <c r="T129" s="36">
        <f>VLOOKUP(обед6,таб,45,FALSE)</f>
        <v>0</v>
      </c>
      <c r="U129" s="35">
        <f>VLOOKUP(обед7,таб,45,FALSE)</f>
        <v>0</v>
      </c>
      <c r="V129" s="88">
        <f>VLOOKUP(обед8,таб,45,FALSE)</f>
        <v>0</v>
      </c>
      <c r="W129" s="37">
        <f>VLOOKUP(полдник1,таб,45,FALSE)</f>
        <v>0</v>
      </c>
      <c r="X129" s="36"/>
      <c r="Y129" s="88">
        <f>VLOOKUP(полдник3,таб,45,FALSE)</f>
        <v>0</v>
      </c>
      <c r="Z129" s="37">
        <f>VLOOKUP(ужин1,таб,45,FALSE)</f>
        <v>0</v>
      </c>
      <c r="AA129" s="35">
        <f>VLOOKUP(ужин2,таб,45,FALSE)</f>
        <v>14.4</v>
      </c>
      <c r="AB129" s="36">
        <f>VLOOKUP(ужин3,таб,45,FALSE)</f>
        <v>0</v>
      </c>
      <c r="AC129" s="35">
        <f>VLOOKUP(ужин4,таб,45,FALSE)</f>
        <v>0</v>
      </c>
      <c r="AD129" s="36">
        <f>VLOOKUP(ужин5,таб,45,FALSE)</f>
        <v>0</v>
      </c>
      <c r="AE129" s="35">
        <f>VLOOKUP(ужин6,таб,45,FALSE)</f>
        <v>0</v>
      </c>
      <c r="AF129" s="36">
        <f>VLOOKUP(ужин7,таб,45,FALSE)</f>
        <v>0</v>
      </c>
      <c r="AG129" s="88">
        <f>VLOOKUP(ужин8,таб,45,FALSE)</f>
        <v>0</v>
      </c>
      <c r="AH129" s="141">
        <v>616062</v>
      </c>
      <c r="AI129" s="139">
        <f>AK129/сред</f>
        <v>0.061399999999999996</v>
      </c>
      <c r="AJ129" s="140"/>
      <c r="AK129" s="143">
        <f>SUM(G130:AG130)</f>
        <v>1.228</v>
      </c>
      <c r="AL129" s="143"/>
      <c r="AM129" s="131">
        <f>IF(AK129=0,0,Таблиця!AT267)</f>
        <v>11.67</v>
      </c>
      <c r="AN129" s="129">
        <f>AK129*AM129</f>
        <v>14.33076</v>
      </c>
      <c r="AQ129" s="54"/>
      <c r="AR129">
        <v>129</v>
      </c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</row>
    <row r="130" spans="1:127" ht="30.75" customHeight="1">
      <c r="A130" s="158"/>
      <c r="B130" s="158"/>
      <c r="C130" s="158"/>
      <c r="D130" s="158"/>
      <c r="E130" s="159"/>
      <c r="F130" s="59" t="s">
        <v>96</v>
      </c>
      <c r="G130" s="74">
        <f aca="true" t="shared" si="155" ref="G130:N130">IF(G129=0,"",завтракл*G129/1000)</f>
      </c>
      <c r="H130" s="47">
        <f t="shared" si="155"/>
        <v>0.34</v>
      </c>
      <c r="I130" s="43"/>
      <c r="J130" s="47">
        <f t="shared" si="155"/>
      </c>
      <c r="K130" s="43">
        <f t="shared" si="155"/>
      </c>
      <c r="L130" s="118">
        <f t="shared" si="155"/>
      </c>
      <c r="M130" s="72">
        <f t="shared" si="155"/>
      </c>
      <c r="N130" s="82">
        <f t="shared" si="155"/>
      </c>
      <c r="O130" s="48">
        <f aca="true" t="shared" si="156" ref="O130:V130">IF(O129=0,"",обідл*O129/1000)</f>
      </c>
      <c r="P130" s="43">
        <f t="shared" si="156"/>
        <v>0.24</v>
      </c>
      <c r="Q130" s="47">
        <f t="shared" si="156"/>
        <v>0.36</v>
      </c>
      <c r="R130" s="43">
        <f t="shared" si="156"/>
      </c>
      <c r="S130" s="47">
        <f t="shared" si="156"/>
      </c>
      <c r="T130" s="43">
        <f t="shared" si="156"/>
      </c>
      <c r="U130" s="47">
        <f t="shared" si="156"/>
      </c>
      <c r="V130" s="85">
        <f t="shared" si="156"/>
      </c>
      <c r="W130" s="48">
        <f>IF(W129=0,"",полдникл*W129/1000)</f>
      </c>
      <c r="X130" s="43"/>
      <c r="Y130" s="85">
        <f>IF(Y129=0,"",полдникл*Y129/1000)</f>
      </c>
      <c r="Z130" s="48">
        <f aca="true" t="shared" si="157" ref="Z130:AG130">IF(Z129=0,"",ужинл*Z129/1000)</f>
      </c>
      <c r="AA130" s="47">
        <f t="shared" si="157"/>
        <v>0.288</v>
      </c>
      <c r="AB130" s="43">
        <f t="shared" si="157"/>
      </c>
      <c r="AC130" s="47">
        <f t="shared" si="157"/>
      </c>
      <c r="AD130" s="43">
        <f t="shared" si="157"/>
      </c>
      <c r="AE130" s="47">
        <f t="shared" si="157"/>
      </c>
      <c r="AF130" s="43">
        <f t="shared" si="157"/>
      </c>
      <c r="AG130" s="85">
        <f t="shared" si="157"/>
      </c>
      <c r="AH130" s="142"/>
      <c r="AI130" s="139"/>
      <c r="AJ130" s="140"/>
      <c r="AK130" s="143"/>
      <c r="AL130" s="143"/>
      <c r="AM130" s="132"/>
      <c r="AN130" s="130"/>
      <c r="AQ130" s="54"/>
      <c r="AR130">
        <v>130</v>
      </c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</row>
    <row r="131" spans="1:127" ht="30.75" customHeight="1">
      <c r="A131" s="163" t="s">
        <v>39</v>
      </c>
      <c r="B131" s="163"/>
      <c r="C131" s="163"/>
      <c r="D131" s="163"/>
      <c r="E131" s="164"/>
      <c r="F131" s="64" t="s">
        <v>95</v>
      </c>
      <c r="G131" s="71">
        <f>VLOOKUP(завтрак1,таб,46,FALSE)</f>
        <v>0</v>
      </c>
      <c r="H131" s="32">
        <f>VLOOKUP(завтрак2,таб,46,FALSE)</f>
        <v>15</v>
      </c>
      <c r="I131" s="33"/>
      <c r="J131" s="32">
        <f>VLOOKUP(завтрак4,таб,46,FALSE)</f>
        <v>0</v>
      </c>
      <c r="K131" s="33">
        <f>VLOOKUP(завтрак5,таб,46,FALSE)</f>
        <v>0</v>
      </c>
      <c r="L131" s="120">
        <f>VLOOKUP(завтрак6,таб,46,FALSE)</f>
        <v>0</v>
      </c>
      <c r="M131" s="71">
        <f>VLOOKUP(завтрак7,таб,46,FALSE)</f>
        <v>0</v>
      </c>
      <c r="N131" s="81">
        <f>VLOOKUP(завтрак8,таб,46,FALSE)</f>
        <v>0</v>
      </c>
      <c r="O131" s="34">
        <f>VLOOKUP(обед1,таб,46,FALSE)</f>
        <v>56</v>
      </c>
      <c r="P131" s="33">
        <f>VLOOKUP(обед2,таб,46,FALSE)</f>
        <v>12.8</v>
      </c>
      <c r="Q131" s="32">
        <v>20.3</v>
      </c>
      <c r="R131" s="33">
        <f>VLOOKUP(обед4,таб,46,FALSE)</f>
        <v>0</v>
      </c>
      <c r="S131" s="32">
        <f>VLOOKUP(обед5,таб,46,FALSE)</f>
        <v>0</v>
      </c>
      <c r="T131" s="33">
        <f>VLOOKUP(обед6,таб,46,FALSE)</f>
        <v>0</v>
      </c>
      <c r="U131" s="32">
        <f>VLOOKUP(обед7,таб,46,FALSE)</f>
        <v>0</v>
      </c>
      <c r="V131" s="87">
        <f>VLOOKUP(обед8,таб,46,FALSE)</f>
        <v>0</v>
      </c>
      <c r="W131" s="34">
        <f>VLOOKUP(полдник1,таб,46,FALSE)</f>
        <v>0</v>
      </c>
      <c r="X131" s="33"/>
      <c r="Y131" s="87">
        <f>VLOOKUP(полдник3,таб,46,FALSE)</f>
        <v>0</v>
      </c>
      <c r="Z131" s="34">
        <f>VLOOKUP(ужин1,таб,46,FALSE)</f>
        <v>27.8</v>
      </c>
      <c r="AA131" s="32">
        <f>VLOOKUP(ужин2,таб,46,FALSE)</f>
        <v>16.2</v>
      </c>
      <c r="AB131" s="33">
        <f>VLOOKUP(ужин3,таб,46,FALSE)</f>
        <v>0</v>
      </c>
      <c r="AC131" s="32">
        <f>VLOOKUP(ужин4,таб,46,FALSE)</f>
        <v>0</v>
      </c>
      <c r="AD131" s="33">
        <f>VLOOKUP(ужин5,таб,46,FALSE)</f>
        <v>0</v>
      </c>
      <c r="AE131" s="32">
        <f>VLOOKUP(ужин6,таб,46,FALSE)</f>
        <v>0</v>
      </c>
      <c r="AF131" s="33">
        <f>VLOOKUP(ужин7,таб,46,FALSE)</f>
        <v>0</v>
      </c>
      <c r="AG131" s="87">
        <f>VLOOKUP(ужин8,таб,46,FALSE)</f>
        <v>0</v>
      </c>
      <c r="AH131" s="141">
        <v>615084</v>
      </c>
      <c r="AI131" s="139">
        <f>AK131/сред</f>
        <v>0.1481</v>
      </c>
      <c r="AJ131" s="140"/>
      <c r="AK131" s="143">
        <f>SUM(G132:AG132)</f>
        <v>2.962</v>
      </c>
      <c r="AL131" s="143"/>
      <c r="AM131" s="131">
        <f>IF(AK131=0,0,Таблиця!AU267)</f>
        <v>11.67</v>
      </c>
      <c r="AN131" s="129">
        <f>AK131*AM131</f>
        <v>34.56654</v>
      </c>
      <c r="AQ131" s="54"/>
      <c r="AR131">
        <v>131</v>
      </c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</row>
    <row r="132" spans="1:127" ht="30.75" customHeight="1">
      <c r="A132" s="163"/>
      <c r="B132" s="163"/>
      <c r="C132" s="163"/>
      <c r="D132" s="163"/>
      <c r="E132" s="164"/>
      <c r="F132" s="59" t="s">
        <v>96</v>
      </c>
      <c r="G132" s="72">
        <f aca="true" t="shared" si="158" ref="G132:N132">IF(G131=0,"",завтракл*G131/1000)</f>
      </c>
      <c r="H132" s="45">
        <f t="shared" si="158"/>
        <v>0.3</v>
      </c>
      <c r="I132" s="44"/>
      <c r="J132" s="45">
        <f t="shared" si="158"/>
      </c>
      <c r="K132" s="44">
        <f t="shared" si="158"/>
      </c>
      <c r="L132" s="117">
        <f t="shared" si="158"/>
      </c>
      <c r="M132" s="72">
        <f t="shared" si="158"/>
      </c>
      <c r="N132" s="82">
        <f t="shared" si="158"/>
      </c>
      <c r="O132" s="46">
        <f aca="true" t="shared" si="159" ref="O132:V132">IF(O131=0,"",обідл*O131/1000)</f>
        <v>1.12</v>
      </c>
      <c r="P132" s="44">
        <f t="shared" si="159"/>
        <v>0.256</v>
      </c>
      <c r="Q132" s="45">
        <f t="shared" si="159"/>
        <v>0.406</v>
      </c>
      <c r="R132" s="44">
        <f t="shared" si="159"/>
      </c>
      <c r="S132" s="45">
        <f t="shared" si="159"/>
      </c>
      <c r="T132" s="44">
        <f t="shared" si="159"/>
      </c>
      <c r="U132" s="45">
        <f t="shared" si="159"/>
      </c>
      <c r="V132" s="82">
        <f t="shared" si="159"/>
      </c>
      <c r="W132" s="46">
        <f>IF(W131=0,"",полдникл*W131/1000)</f>
      </c>
      <c r="X132" s="44"/>
      <c r="Y132" s="82">
        <f>IF(Y131=0,"",полдникл*Y131/1000)</f>
      </c>
      <c r="Z132" s="46">
        <f aca="true" t="shared" si="160" ref="Z132:AG132">IF(Z131=0,"",ужинл*Z131/1000)</f>
        <v>0.556</v>
      </c>
      <c r="AA132" s="45">
        <f t="shared" si="160"/>
        <v>0.324</v>
      </c>
      <c r="AB132" s="44">
        <f t="shared" si="160"/>
      </c>
      <c r="AC132" s="45">
        <f t="shared" si="160"/>
      </c>
      <c r="AD132" s="44">
        <f t="shared" si="160"/>
      </c>
      <c r="AE132" s="45">
        <f t="shared" si="160"/>
      </c>
      <c r="AF132" s="44">
        <f t="shared" si="160"/>
      </c>
      <c r="AG132" s="82">
        <f t="shared" si="160"/>
      </c>
      <c r="AH132" s="142"/>
      <c r="AI132" s="139"/>
      <c r="AJ132" s="140"/>
      <c r="AK132" s="143"/>
      <c r="AL132" s="143"/>
      <c r="AM132" s="132"/>
      <c r="AN132" s="130"/>
      <c r="AQ132" s="54"/>
      <c r="AR132">
        <v>132</v>
      </c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</row>
    <row r="133" spans="1:127" ht="30.75" customHeight="1">
      <c r="A133" s="156" t="s">
        <v>118</v>
      </c>
      <c r="B133" s="156"/>
      <c r="C133" s="156"/>
      <c r="D133" s="156"/>
      <c r="E133" s="157"/>
      <c r="F133" s="64" t="s">
        <v>95</v>
      </c>
      <c r="G133" s="73">
        <f>VLOOKUP(завтрак1,таб,47,FALSE)</f>
        <v>0</v>
      </c>
      <c r="H133" s="35"/>
      <c r="I133" s="36"/>
      <c r="J133" s="35">
        <f>VLOOKUP(завтрак4,таб,47,FALSE)</f>
        <v>0</v>
      </c>
      <c r="K133" s="36">
        <f>VLOOKUP(завтрак5,таб,47,FALSE)</f>
        <v>0</v>
      </c>
      <c r="L133" s="121">
        <f>VLOOKUP(завтрак6,таб,47,FALSE)</f>
        <v>0</v>
      </c>
      <c r="M133" s="71">
        <f>VLOOKUP(завтрак7,таб,47,FALSE)</f>
        <v>0</v>
      </c>
      <c r="N133" s="81">
        <f>VLOOKUP(завтрак8,таб,47,FALSE)</f>
        <v>0</v>
      </c>
      <c r="O133" s="37">
        <f>VLOOKUP(обед1,таб,47,FALSE)</f>
        <v>0</v>
      </c>
      <c r="P133" s="36">
        <f>VLOOKUP(обед2,таб,47,FALSE)</f>
        <v>0</v>
      </c>
      <c r="Q133" s="35">
        <f>VLOOKUP(обед3,таб,47,FALSE)</f>
        <v>0</v>
      </c>
      <c r="R133" s="36">
        <f>VLOOKUP(обед4,таб,47,FALSE)</f>
        <v>0</v>
      </c>
      <c r="S133" s="35">
        <f>VLOOKUP(обед5,таб,47,FALSE)</f>
        <v>0</v>
      </c>
      <c r="T133" s="36">
        <f>VLOOKUP(обед6,таб,47,FALSE)</f>
        <v>0</v>
      </c>
      <c r="U133" s="35">
        <f>VLOOKUP(обед7,таб,47,FALSE)</f>
        <v>0</v>
      </c>
      <c r="V133" s="88">
        <f>VLOOKUP(обед8,таб,47,FALSE)</f>
        <v>0</v>
      </c>
      <c r="W133" s="37">
        <f>VLOOKUP(полдник1,таб,47,FALSE)</f>
        <v>0</v>
      </c>
      <c r="X133" s="36"/>
      <c r="Y133" s="88">
        <f>VLOOKUP(полдник3,таб,47,FALSE)</f>
        <v>0</v>
      </c>
      <c r="Z133" s="37">
        <f>VLOOKUP(ужин1,таб,47,FALSE)</f>
        <v>0</v>
      </c>
      <c r="AA133" s="35">
        <f>VLOOKUP(ужин2,таб,47,FALSE)</f>
        <v>0</v>
      </c>
      <c r="AB133" s="36">
        <f>VLOOKUP(ужин3,таб,47,FALSE)</f>
        <v>0</v>
      </c>
      <c r="AC133" s="35">
        <f>VLOOKUP(ужин4,таб,47,FALSE)</f>
        <v>0</v>
      </c>
      <c r="AD133" s="36">
        <f>VLOOKUP(ужин5,таб,47,FALSE)</f>
        <v>0</v>
      </c>
      <c r="AE133" s="35">
        <f>VLOOKUP(ужин6,таб,47,FALSE)</f>
        <v>0</v>
      </c>
      <c r="AF133" s="36">
        <f>VLOOKUP(ужин7,таб,47,FALSE)</f>
        <v>0</v>
      </c>
      <c r="AG133" s="88">
        <f>VLOOKUP(ужин8,таб,47,FALSE)</f>
        <v>0</v>
      </c>
      <c r="AH133" s="141">
        <v>615088</v>
      </c>
      <c r="AI133" s="139">
        <f>AK133/сред</f>
        <v>0</v>
      </c>
      <c r="AJ133" s="140"/>
      <c r="AK133" s="143">
        <f>SUM(G134:AG134)</f>
        <v>0</v>
      </c>
      <c r="AL133" s="143"/>
      <c r="AM133" s="131">
        <f>IF(AK133=0,0,Таблиця!AV267)</f>
        <v>0</v>
      </c>
      <c r="AN133" s="129">
        <f>AK133*AM133</f>
        <v>0</v>
      </c>
      <c r="AQ133" s="54"/>
      <c r="AR133">
        <v>133</v>
      </c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</row>
    <row r="134" spans="1:127" ht="30.75" customHeight="1">
      <c r="A134" s="158"/>
      <c r="B134" s="158"/>
      <c r="C134" s="158"/>
      <c r="D134" s="158"/>
      <c r="E134" s="159"/>
      <c r="F134" s="59" t="s">
        <v>96</v>
      </c>
      <c r="G134" s="74">
        <f aca="true" t="shared" si="161" ref="G134:N134">IF(G133=0,"",завтракл*G133/1000)</f>
      </c>
      <c r="H134" s="47">
        <f t="shared" si="161"/>
      </c>
      <c r="I134" s="43"/>
      <c r="J134" s="47">
        <f t="shared" si="161"/>
      </c>
      <c r="K134" s="43">
        <f t="shared" si="161"/>
      </c>
      <c r="L134" s="118">
        <f t="shared" si="161"/>
      </c>
      <c r="M134" s="72">
        <f t="shared" si="161"/>
      </c>
      <c r="N134" s="82">
        <f t="shared" si="161"/>
      </c>
      <c r="O134" s="48">
        <f aca="true" t="shared" si="162" ref="O134:V134">IF(O133=0,"",обідл*O133/1000)</f>
      </c>
      <c r="P134" s="43">
        <f t="shared" si="162"/>
      </c>
      <c r="Q134" s="47">
        <f t="shared" si="162"/>
      </c>
      <c r="R134" s="43">
        <f t="shared" si="162"/>
      </c>
      <c r="S134" s="47">
        <f t="shared" si="162"/>
      </c>
      <c r="T134" s="43">
        <f t="shared" si="162"/>
      </c>
      <c r="U134" s="47">
        <f t="shared" si="162"/>
      </c>
      <c r="V134" s="85">
        <f t="shared" si="162"/>
      </c>
      <c r="W134" s="48">
        <f>IF(W133=0,"",полдникл*W133/1000)</f>
      </c>
      <c r="X134" s="43"/>
      <c r="Y134" s="85">
        <f>IF(Y133=0,"",полдникл*Y133/1000)</f>
      </c>
      <c r="Z134" s="48">
        <f aca="true" t="shared" si="163" ref="Z134:AG134">IF(Z133=0,"",ужинл*Z133/1000)</f>
      </c>
      <c r="AA134" s="47">
        <f t="shared" si="163"/>
      </c>
      <c r="AB134" s="43">
        <f t="shared" si="163"/>
      </c>
      <c r="AC134" s="47">
        <f t="shared" si="163"/>
      </c>
      <c r="AD134" s="43">
        <f t="shared" si="163"/>
      </c>
      <c r="AE134" s="47">
        <f t="shared" si="163"/>
      </c>
      <c r="AF134" s="43">
        <f t="shared" si="163"/>
      </c>
      <c r="AG134" s="85">
        <f t="shared" si="163"/>
      </c>
      <c r="AH134" s="142"/>
      <c r="AI134" s="139"/>
      <c r="AJ134" s="140"/>
      <c r="AK134" s="143"/>
      <c r="AL134" s="143"/>
      <c r="AM134" s="132"/>
      <c r="AN134" s="130"/>
      <c r="AQ134" s="54"/>
      <c r="AR134">
        <v>134</v>
      </c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</row>
    <row r="135" spans="1:127" ht="30.75" customHeight="1">
      <c r="A135" s="159" t="s">
        <v>439</v>
      </c>
      <c r="B135" s="160"/>
      <c r="C135" s="160"/>
      <c r="D135" s="160"/>
      <c r="E135" s="160"/>
      <c r="F135" s="64" t="s">
        <v>95</v>
      </c>
      <c r="G135" s="71">
        <f>VLOOKUP(завтрак1,таб,48,FALSE)</f>
        <v>0</v>
      </c>
      <c r="H135" s="32">
        <f>VLOOKUP(завтрак2,таб,48,FALSE)</f>
        <v>0</v>
      </c>
      <c r="I135" s="33"/>
      <c r="J135" s="32">
        <f>VLOOKUP(завтрак4,таб,48,FALSE)</f>
        <v>0</v>
      </c>
      <c r="K135" s="33">
        <f>VLOOKUP(завтрак5,таб,48,FALSE)</f>
        <v>0</v>
      </c>
      <c r="L135" s="120">
        <f>VLOOKUP(завтрак6,таб,48,FALSE)</f>
        <v>0</v>
      </c>
      <c r="M135" s="71">
        <f>VLOOKUP(завтрак7,таб,48,FALSE)</f>
        <v>0</v>
      </c>
      <c r="N135" s="81">
        <f>VLOOKUP(завтрак8,таб,48,FALSE)</f>
        <v>0</v>
      </c>
      <c r="O135" s="34">
        <f>VLOOKUP(обед1,таб,48,FALSE)</f>
        <v>0</v>
      </c>
      <c r="P135" s="33">
        <f>VLOOKUP(обед2,таб,48,FALSE)</f>
        <v>0</v>
      </c>
      <c r="Q135" s="32">
        <f>VLOOKUP(обед3,таб,48,FALSE)</f>
        <v>0</v>
      </c>
      <c r="R135" s="33">
        <f>VLOOKUP(обед4,таб,48,FALSE)</f>
        <v>0</v>
      </c>
      <c r="S135" s="32">
        <f>VLOOKUP(обед5,таб,48,FALSE)</f>
        <v>0</v>
      </c>
      <c r="T135" s="33">
        <f>VLOOKUP(обед6,таб,48,FALSE)</f>
        <v>0</v>
      </c>
      <c r="U135" s="32">
        <f>VLOOKUP(обед7,таб,48,FALSE)</f>
        <v>0</v>
      </c>
      <c r="V135" s="87">
        <f>VLOOKUP(обед8,таб,48,FALSE)</f>
        <v>0</v>
      </c>
      <c r="W135" s="34">
        <f>VLOOKUP(полдник1,таб,48,FALSE)</f>
        <v>0</v>
      </c>
      <c r="X135" s="33"/>
      <c r="Y135" s="87">
        <f>VLOOKUP(полдник3,таб,48,FALSE)</f>
        <v>0</v>
      </c>
      <c r="Z135" s="34">
        <f>VLOOKUP(ужин1,таб,48,FALSE)</f>
        <v>34.5</v>
      </c>
      <c r="AA135" s="32">
        <f>VLOOKUP(ужин2,таб,48,FALSE)</f>
        <v>0</v>
      </c>
      <c r="AB135" s="33">
        <f>VLOOKUP(ужин3,таб,48,FALSE)</f>
        <v>0</v>
      </c>
      <c r="AC135" s="32">
        <f>VLOOKUP(ужин4,таб,48,FALSE)</f>
        <v>0</v>
      </c>
      <c r="AD135" s="33">
        <f>VLOOKUP(ужин5,таб,48,FALSE)</f>
        <v>0</v>
      </c>
      <c r="AE135" s="32">
        <f>VLOOKUP(ужин6,таб,48,FALSE)</f>
        <v>0</v>
      </c>
      <c r="AF135" s="33">
        <f>VLOOKUP(ужин7,таб,48,FALSE)</f>
        <v>0</v>
      </c>
      <c r="AG135" s="87">
        <f>VLOOKUP(ужин8,таб,48,FALSE)</f>
        <v>0</v>
      </c>
      <c r="AH135" s="141"/>
      <c r="AI135" s="139">
        <f>AK135/сред</f>
        <v>0.034499999999999996</v>
      </c>
      <c r="AJ135" s="140"/>
      <c r="AK135" s="143">
        <f>SUM(G136:AG136)</f>
        <v>0.69</v>
      </c>
      <c r="AL135" s="143"/>
      <c r="AM135" s="131">
        <f>IF(AK135=0,0,Таблиця!EJ267)</f>
        <v>60</v>
      </c>
      <c r="AN135" s="129">
        <f>AK135*AM135</f>
        <v>41.4</v>
      </c>
      <c r="AQ135" s="54"/>
      <c r="AR135">
        <v>135</v>
      </c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</row>
    <row r="136" spans="1:127" ht="30.75" customHeight="1">
      <c r="A136" s="161"/>
      <c r="B136" s="162"/>
      <c r="C136" s="162"/>
      <c r="D136" s="162"/>
      <c r="E136" s="162"/>
      <c r="F136" s="59" t="s">
        <v>96</v>
      </c>
      <c r="G136" s="72">
        <f aca="true" t="shared" si="164" ref="G136:N136">IF(G135=0,"",завтракл*G135/1000)</f>
      </c>
      <c r="H136" s="45">
        <f t="shared" si="164"/>
      </c>
      <c r="I136" s="44"/>
      <c r="J136" s="45">
        <f t="shared" si="164"/>
      </c>
      <c r="K136" s="44">
        <f t="shared" si="164"/>
      </c>
      <c r="L136" s="117">
        <f t="shared" si="164"/>
      </c>
      <c r="M136" s="72">
        <f t="shared" si="164"/>
      </c>
      <c r="N136" s="82">
        <f t="shared" si="164"/>
      </c>
      <c r="O136" s="46">
        <f aca="true" t="shared" si="165" ref="O136:V136">IF(O135=0,"",обідл*O135/1000)</f>
      </c>
      <c r="P136" s="44">
        <f t="shared" si="165"/>
      </c>
      <c r="Q136" s="45">
        <f t="shared" si="165"/>
      </c>
      <c r="R136" s="44">
        <f t="shared" si="165"/>
      </c>
      <c r="S136" s="45">
        <f t="shared" si="165"/>
      </c>
      <c r="T136" s="44">
        <f t="shared" si="165"/>
      </c>
      <c r="U136" s="45">
        <f t="shared" si="165"/>
      </c>
      <c r="V136" s="82">
        <f t="shared" si="165"/>
      </c>
      <c r="W136" s="46">
        <f>IF(W135=0,"",полдникл*W135/1000)</f>
      </c>
      <c r="X136" s="44"/>
      <c r="Y136" s="82">
        <f>IF(Y135=0,"",полдникл*Y135/1000)</f>
      </c>
      <c r="Z136" s="46">
        <f aca="true" t="shared" si="166" ref="Z136:AG136">IF(Z135=0,"",ужинл*Z135/1000)</f>
        <v>0.69</v>
      </c>
      <c r="AA136" s="45">
        <f t="shared" si="166"/>
      </c>
      <c r="AB136" s="44">
        <f t="shared" si="166"/>
      </c>
      <c r="AC136" s="45">
        <f t="shared" si="166"/>
      </c>
      <c r="AD136" s="44">
        <f t="shared" si="166"/>
      </c>
      <c r="AE136" s="45">
        <f t="shared" si="166"/>
      </c>
      <c r="AF136" s="44">
        <f t="shared" si="166"/>
      </c>
      <c r="AG136" s="82">
        <f t="shared" si="166"/>
      </c>
      <c r="AH136" s="142"/>
      <c r="AI136" s="139"/>
      <c r="AJ136" s="140"/>
      <c r="AK136" s="143"/>
      <c r="AL136" s="143"/>
      <c r="AM136" s="132"/>
      <c r="AN136" s="130"/>
      <c r="AQ136" s="55"/>
      <c r="AR136">
        <v>136</v>
      </c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</row>
    <row r="137" spans="1:127" ht="30.75" customHeight="1">
      <c r="A137" s="156" t="s">
        <v>40</v>
      </c>
      <c r="B137" s="156"/>
      <c r="C137" s="156"/>
      <c r="D137" s="156"/>
      <c r="E137" s="157"/>
      <c r="F137" s="64" t="s">
        <v>95</v>
      </c>
      <c r="G137" s="73">
        <f>VLOOKUP(завтрак1,таб,51,FALSE)</f>
        <v>0</v>
      </c>
      <c r="H137" s="35">
        <f>VLOOKUP(завтрак2,таб,51,FALSE)</f>
        <v>0</v>
      </c>
      <c r="I137" s="36"/>
      <c r="J137" s="35">
        <f>VLOOKUP(завтрак4,таб,51,FALSE)</f>
        <v>0</v>
      </c>
      <c r="K137" s="36">
        <f>VLOOKUP(завтрак5,таб,51,FALSE)</f>
        <v>0</v>
      </c>
      <c r="L137" s="121">
        <f>VLOOKUP(завтрак6,таб,51,FALSE)</f>
        <v>0</v>
      </c>
      <c r="M137" s="71">
        <f>VLOOKUP(завтрак7,таб,49,FALSE)</f>
        <v>0</v>
      </c>
      <c r="N137" s="81">
        <f>VLOOKUP(завтрак8,таб,49,FALSE)</f>
        <v>0</v>
      </c>
      <c r="O137" s="37">
        <f>VLOOKUP(обед1,таб,51,FALSE)</f>
        <v>0</v>
      </c>
      <c r="P137" s="36">
        <f>VLOOKUP(обед2,таб,51,FALSE)</f>
        <v>51</v>
      </c>
      <c r="Q137" s="35">
        <f>VLOOKUP(обед3,таб,51,FALSE)</f>
        <v>0</v>
      </c>
      <c r="R137" s="36">
        <f>VLOOKUP(обед4,таб,51,FALSE)</f>
        <v>0</v>
      </c>
      <c r="S137" s="35">
        <f>VLOOKUP(обед5,таб,51,FALSE)</f>
        <v>0</v>
      </c>
      <c r="T137" s="36">
        <f>VLOOKUP(обед6,таб,51,FALSE)</f>
        <v>0</v>
      </c>
      <c r="U137" s="35">
        <f>VLOOKUP(обед7,таб,51,FALSE)</f>
        <v>0</v>
      </c>
      <c r="V137" s="88">
        <f>VLOOKUP(обед8,таб,51,FALSE)</f>
        <v>0</v>
      </c>
      <c r="W137" s="37">
        <f>VLOOKUP(полдник1,таб,51,FALSE)</f>
        <v>85.1</v>
      </c>
      <c r="X137" s="36"/>
      <c r="Y137" s="88">
        <f>VLOOKUP(полдник3,таб,51,FALSE)</f>
        <v>0</v>
      </c>
      <c r="Z137" s="37">
        <f>VLOOKUP(ужин1,таб,51,FALSE)</f>
        <v>0</v>
      </c>
      <c r="AA137" s="35">
        <f>VLOOKUP(ужин2,таб,51,FALSE)</f>
        <v>0</v>
      </c>
      <c r="AB137" s="36">
        <f>VLOOKUP(ужин3,таб,51,FALSE)</f>
        <v>0</v>
      </c>
      <c r="AC137" s="35">
        <f>VLOOKUP(ужин4,таб,51,FALSE)</f>
        <v>0</v>
      </c>
      <c r="AD137" s="36">
        <f>VLOOKUP(ужин5,таб,51,FALSE)</f>
        <v>0</v>
      </c>
      <c r="AE137" s="35">
        <f>VLOOKUP(ужин6,таб,51,FALSE)</f>
        <v>0</v>
      </c>
      <c r="AF137" s="36">
        <f>VLOOKUP(ужин7,таб,51,FALSE)</f>
        <v>0</v>
      </c>
      <c r="AG137" s="88">
        <f>VLOOKUP(ужин8,таб,51,FALSE)</f>
        <v>0</v>
      </c>
      <c r="AH137" s="141">
        <v>615094</v>
      </c>
      <c r="AI137" s="139">
        <f>AK137/сред</f>
        <v>0.1361</v>
      </c>
      <c r="AJ137" s="140"/>
      <c r="AK137" s="143">
        <f>SUM(G138:AG138)</f>
        <v>2.722</v>
      </c>
      <c r="AL137" s="143"/>
      <c r="AM137" s="131">
        <f>IF(AK137=0,0,Таблиця!AZ267)</f>
        <v>16.7</v>
      </c>
      <c r="AN137" s="129">
        <f>AK137*AM137</f>
        <v>45.4574</v>
      </c>
      <c r="AQ137" s="54"/>
      <c r="AR137">
        <v>137</v>
      </c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</row>
    <row r="138" spans="1:127" ht="30.75" customHeight="1">
      <c r="A138" s="158"/>
      <c r="B138" s="158"/>
      <c r="C138" s="158"/>
      <c r="D138" s="158"/>
      <c r="E138" s="159"/>
      <c r="F138" s="59" t="s">
        <v>96</v>
      </c>
      <c r="G138" s="74">
        <f aca="true" t="shared" si="167" ref="G138:N138">IF(G137=0,"",завтракл*G137/1000)</f>
      </c>
      <c r="H138" s="47">
        <f t="shared" si="167"/>
      </c>
      <c r="I138" s="43"/>
      <c r="J138" s="47">
        <f t="shared" si="167"/>
      </c>
      <c r="K138" s="43">
        <f t="shared" si="167"/>
      </c>
      <c r="L138" s="118">
        <f t="shared" si="167"/>
      </c>
      <c r="M138" s="72">
        <f t="shared" si="167"/>
      </c>
      <c r="N138" s="82">
        <f t="shared" si="167"/>
      </c>
      <c r="O138" s="48">
        <f aca="true" t="shared" si="168" ref="O138:V138">IF(O137=0,"",обідл*O137/1000)</f>
      </c>
      <c r="P138" s="43">
        <f t="shared" si="168"/>
        <v>1.02</v>
      </c>
      <c r="Q138" s="47">
        <f t="shared" si="168"/>
      </c>
      <c r="R138" s="43">
        <f t="shared" si="168"/>
      </c>
      <c r="S138" s="47">
        <f t="shared" si="168"/>
      </c>
      <c r="T138" s="43">
        <f t="shared" si="168"/>
      </c>
      <c r="U138" s="47">
        <f t="shared" si="168"/>
      </c>
      <c r="V138" s="85">
        <f t="shared" si="168"/>
      </c>
      <c r="W138" s="48">
        <f>IF(W137=0,"",полдникл*W137/1000)</f>
        <v>1.702</v>
      </c>
      <c r="X138" s="43"/>
      <c r="Y138" s="85">
        <f>IF(Y137=0,"",полдникл*Y137/1000)</f>
      </c>
      <c r="Z138" s="48">
        <f aca="true" t="shared" si="169" ref="Z138:AG138">IF(Z137=0,"",ужинл*Z137/1000)</f>
      </c>
      <c r="AA138" s="47">
        <f t="shared" si="169"/>
      </c>
      <c r="AB138" s="43">
        <f t="shared" si="169"/>
      </c>
      <c r="AC138" s="47">
        <f t="shared" si="169"/>
      </c>
      <c r="AD138" s="43">
        <f t="shared" si="169"/>
      </c>
      <c r="AE138" s="47">
        <f t="shared" si="169"/>
      </c>
      <c r="AF138" s="43">
        <f t="shared" si="169"/>
      </c>
      <c r="AG138" s="85">
        <f t="shared" si="169"/>
      </c>
      <c r="AH138" s="142"/>
      <c r="AI138" s="139"/>
      <c r="AJ138" s="140"/>
      <c r="AK138" s="143"/>
      <c r="AL138" s="143"/>
      <c r="AM138" s="132"/>
      <c r="AN138" s="130"/>
      <c r="AQ138" s="54"/>
      <c r="AR138">
        <v>138</v>
      </c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</row>
    <row r="139" spans="1:127" ht="30.75" customHeight="1">
      <c r="A139" s="152" t="s">
        <v>112</v>
      </c>
      <c r="B139" s="152"/>
      <c r="C139" s="152"/>
      <c r="D139" s="152"/>
      <c r="E139" s="153"/>
      <c r="F139" s="64" t="s">
        <v>95</v>
      </c>
      <c r="G139" s="71">
        <f>VLOOKUP(завтрак1,таб,50,FALSE)</f>
        <v>0</v>
      </c>
      <c r="H139" s="32">
        <f>VLOOKUP(завтрак2,таб,50,FALSE)</f>
        <v>0</v>
      </c>
      <c r="I139" s="33"/>
      <c r="J139" s="32">
        <f>VLOOKUP(завтрак4,таб,50,FALSE)</f>
        <v>0</v>
      </c>
      <c r="K139" s="33">
        <f>VLOOKUP(завтрак5,таб,50,FALSE)</f>
        <v>0</v>
      </c>
      <c r="L139" s="120">
        <f>VLOOKUP(завтрак6,таб,50,FALSE)</f>
        <v>0</v>
      </c>
      <c r="M139" s="71">
        <f>VLOOKUP(завтрак7,таб,50,FALSE)</f>
        <v>0</v>
      </c>
      <c r="N139" s="81">
        <f>VLOOKUP(завтрак8,таб,50,FALSE)</f>
        <v>0</v>
      </c>
      <c r="O139" s="34">
        <f>VLOOKUP(обед1,таб,50,FALSE)</f>
        <v>0</v>
      </c>
      <c r="P139" s="33">
        <f>VLOOKUP(обед2,таб,50,FALSE)</f>
        <v>0</v>
      </c>
      <c r="Q139" s="32">
        <f>VLOOKUP(обед3,таб,50,FALSE)</f>
        <v>0</v>
      </c>
      <c r="R139" s="33">
        <f>VLOOKUP(обед4,таб,50,FALSE)</f>
        <v>0</v>
      </c>
      <c r="S139" s="32">
        <f>VLOOKUP(обед5,таб,50,FALSE)</f>
        <v>0</v>
      </c>
      <c r="T139" s="33">
        <f>VLOOKUP(обед6,таб,50,FALSE)</f>
        <v>0</v>
      </c>
      <c r="U139" s="32">
        <f>VLOOKUP(обед7,таб,50,FALSE)</f>
        <v>0</v>
      </c>
      <c r="V139" s="87">
        <f>VLOOKUP(обед8,таб,50,FALSE)</f>
        <v>0</v>
      </c>
      <c r="W139" s="34">
        <f>VLOOKUP(полдник1,таб,50,FALSE)</f>
        <v>0</v>
      </c>
      <c r="X139" s="33"/>
      <c r="Y139" s="87">
        <f>VLOOKUP(полдник3,таб,50,FALSE)</f>
        <v>0</v>
      </c>
      <c r="Z139" s="34">
        <f>VLOOKUP(ужин1,таб,50,FALSE)</f>
        <v>0</v>
      </c>
      <c r="AA139" s="32">
        <f>VLOOKUP(ужин2,таб,50,FALSE)</f>
        <v>0</v>
      </c>
      <c r="AB139" s="33">
        <f>VLOOKUP(ужин3,таб,50,FALSE)</f>
        <v>0</v>
      </c>
      <c r="AC139" s="32">
        <f>VLOOKUP(ужин4,таб,50,FALSE)</f>
        <v>0</v>
      </c>
      <c r="AD139" s="33">
        <f>VLOOKUP(ужин5,таб,50,FALSE)</f>
        <v>0</v>
      </c>
      <c r="AE139" s="32">
        <f>VLOOKUP(ужин6,таб,50,FALSE)</f>
        <v>0</v>
      </c>
      <c r="AF139" s="33">
        <f>VLOOKUP(ужин7,таб,50,FALSE)</f>
        <v>0</v>
      </c>
      <c r="AG139" s="87">
        <f>VLOOKUP(ужин8,таб,50,FALSE)</f>
        <v>0</v>
      </c>
      <c r="AH139" s="141"/>
      <c r="AI139" s="139">
        <f>AK139/сред</f>
        <v>0</v>
      </c>
      <c r="AJ139" s="140"/>
      <c r="AK139" s="143">
        <f>SUM(G140:AG140)</f>
        <v>0</v>
      </c>
      <c r="AL139" s="143"/>
      <c r="AM139" s="131">
        <f>IF(AK139=0,0,Таблиця!AY267)</f>
        <v>0</v>
      </c>
      <c r="AN139" s="129">
        <f>AK139*AM139</f>
        <v>0</v>
      </c>
      <c r="AQ139" s="54"/>
      <c r="AR139">
        <v>139</v>
      </c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</row>
    <row r="140" spans="1:109" ht="30.75" customHeight="1">
      <c r="A140" s="152"/>
      <c r="B140" s="152"/>
      <c r="C140" s="152"/>
      <c r="D140" s="152"/>
      <c r="E140" s="153"/>
      <c r="F140" s="59" t="s">
        <v>96</v>
      </c>
      <c r="G140" s="72">
        <f aca="true" t="shared" si="170" ref="G140:N140">IF(G139=0,"",завтракл*G139/1000)</f>
      </c>
      <c r="H140" s="45">
        <f t="shared" si="170"/>
      </c>
      <c r="I140" s="44"/>
      <c r="J140" s="45">
        <f t="shared" si="170"/>
      </c>
      <c r="K140" s="44">
        <f t="shared" si="170"/>
      </c>
      <c r="L140" s="117">
        <f t="shared" si="170"/>
      </c>
      <c r="M140" s="72">
        <f t="shared" si="170"/>
      </c>
      <c r="N140" s="82">
        <f t="shared" si="170"/>
      </c>
      <c r="O140" s="46">
        <f aca="true" t="shared" si="171" ref="O140:V140">IF(O139=0,"",обідл*O139/1000)</f>
      </c>
      <c r="P140" s="44">
        <f t="shared" si="171"/>
      </c>
      <c r="Q140" s="45">
        <f t="shared" si="171"/>
      </c>
      <c r="R140" s="44">
        <f t="shared" si="171"/>
      </c>
      <c r="S140" s="45">
        <f t="shared" si="171"/>
      </c>
      <c r="T140" s="44">
        <f t="shared" si="171"/>
      </c>
      <c r="U140" s="45">
        <f t="shared" si="171"/>
      </c>
      <c r="V140" s="82">
        <f t="shared" si="171"/>
      </c>
      <c r="W140" s="46">
        <f>IF(W139=0,"",полдникл*W139/1000)</f>
      </c>
      <c r="X140" s="44"/>
      <c r="Y140" s="82">
        <f>IF(Y139=0,"",полдникл*Y139/1000)</f>
      </c>
      <c r="Z140" s="46">
        <f aca="true" t="shared" si="172" ref="Z140:AG140">IF(Z139=0,"",ужинл*Z139/1000)</f>
      </c>
      <c r="AA140" s="45">
        <f t="shared" si="172"/>
      </c>
      <c r="AB140" s="44">
        <f t="shared" si="172"/>
      </c>
      <c r="AC140" s="45">
        <f t="shared" si="172"/>
      </c>
      <c r="AD140" s="44">
        <f t="shared" si="172"/>
      </c>
      <c r="AE140" s="45">
        <f t="shared" si="172"/>
      </c>
      <c r="AF140" s="44">
        <f t="shared" si="172"/>
      </c>
      <c r="AG140" s="82">
        <f t="shared" si="172"/>
      </c>
      <c r="AH140" s="142"/>
      <c r="AI140" s="139"/>
      <c r="AJ140" s="140"/>
      <c r="AK140" s="143"/>
      <c r="AL140" s="143"/>
      <c r="AM140" s="132"/>
      <c r="AN140" s="130"/>
      <c r="AQ140" s="54"/>
      <c r="AR140">
        <v>140</v>
      </c>
      <c r="CJ140" s="54"/>
      <c r="DE140" s="54"/>
    </row>
    <row r="141" spans="1:109" ht="30.75" customHeight="1">
      <c r="A141" s="156" t="s">
        <v>41</v>
      </c>
      <c r="B141" s="156"/>
      <c r="C141" s="156"/>
      <c r="D141" s="156"/>
      <c r="E141" s="157"/>
      <c r="F141" s="64" t="s">
        <v>95</v>
      </c>
      <c r="G141" s="73">
        <f>VLOOKUP(завтрак1,таб,49,FALSE)</f>
        <v>0</v>
      </c>
      <c r="H141" s="35">
        <v>1</v>
      </c>
      <c r="I141" s="36"/>
      <c r="J141" s="35">
        <f>VLOOKUP(завтрак4,таб,49,FALSE)</f>
        <v>0</v>
      </c>
      <c r="K141" s="36">
        <f>VLOOKUP(завтрак5,таб,49,FALSE)</f>
        <v>0</v>
      </c>
      <c r="L141" s="121">
        <f>VLOOKUP(завтрак6,таб,49,FALSE)</f>
        <v>0</v>
      </c>
      <c r="M141" s="71">
        <f>VLOOKUP(завтрак7,таб,51,FALSE)</f>
        <v>0</v>
      </c>
      <c r="N141" s="81">
        <f>VLOOKUP(завтрак8,таб,51,FALSE)</f>
        <v>0</v>
      </c>
      <c r="O141" s="37">
        <f>VLOOKUP(обед1,таб,49,FALSE)</f>
        <v>0</v>
      </c>
      <c r="P141" s="36">
        <v>1</v>
      </c>
      <c r="Q141" s="35"/>
      <c r="R141" s="36">
        <f>VLOOKUP(обед4,таб,49,FALSE)</f>
        <v>0</v>
      </c>
      <c r="S141" s="35">
        <f>VLOOKUP(обед5,таб,49,FALSE)</f>
        <v>0</v>
      </c>
      <c r="T141" s="36">
        <f>VLOOKUP(обед6,таб,49,FALSE)</f>
        <v>0</v>
      </c>
      <c r="U141" s="35">
        <f>VLOOKUP(обед7,таб,49,FALSE)</f>
        <v>0</v>
      </c>
      <c r="V141" s="88">
        <f>VLOOKUP(обед8,таб,49,FALSE)</f>
        <v>0</v>
      </c>
      <c r="W141" s="37">
        <f>VLOOKUP(полдник1,таб,49,FALSE)</f>
        <v>0</v>
      </c>
      <c r="X141" s="36"/>
      <c r="Y141" s="88">
        <f>VLOOKUP(полдник3,таб,49,FALSE)</f>
        <v>0</v>
      </c>
      <c r="Z141" s="37">
        <f>VLOOKUP(ужин1,таб,49,FALSE)</f>
        <v>0</v>
      </c>
      <c r="AA141" s="35">
        <v>1</v>
      </c>
      <c r="AB141" s="36">
        <f>VLOOKUP(ужин3,таб,49,FALSE)</f>
        <v>0</v>
      </c>
      <c r="AC141" s="35">
        <f>VLOOKUP(ужин4,таб,49,FALSE)</f>
        <v>0</v>
      </c>
      <c r="AD141" s="36">
        <f>VLOOKUP(ужин5,таб,49,FALSE)</f>
        <v>0</v>
      </c>
      <c r="AE141" s="35">
        <f>VLOOKUP(ужин6,таб,49,FALSE)</f>
        <v>0</v>
      </c>
      <c r="AF141" s="36">
        <f>VLOOKUP(ужин7,таб,49,FALSE)</f>
        <v>0</v>
      </c>
      <c r="AG141" s="88">
        <f>VLOOKUP(ужин8,таб,49,FALSE)</f>
        <v>0</v>
      </c>
      <c r="AH141" s="141"/>
      <c r="AI141" s="139">
        <f>AK141/сред</f>
        <v>0.003</v>
      </c>
      <c r="AJ141" s="140"/>
      <c r="AK141" s="143">
        <f>SUM(G142:AG142)</f>
        <v>0.06</v>
      </c>
      <c r="AL141" s="143"/>
      <c r="AM141" s="131">
        <f>IF(AK141=0,0,Таблиця!AX267)</f>
        <v>60</v>
      </c>
      <c r="AN141" s="129">
        <f>AK141*AM141</f>
        <v>3.5999999999999996</v>
      </c>
      <c r="AQ141" s="54"/>
      <c r="AR141">
        <v>141</v>
      </c>
      <c r="DE141" s="54"/>
    </row>
    <row r="142" spans="1:109" ht="30.75" customHeight="1">
      <c r="A142" s="158"/>
      <c r="B142" s="158"/>
      <c r="C142" s="158"/>
      <c r="D142" s="158"/>
      <c r="E142" s="159"/>
      <c r="F142" s="59" t="s">
        <v>96</v>
      </c>
      <c r="G142" s="74">
        <f aca="true" t="shared" si="173" ref="G142:N142">IF(G141=0,"",завтракл*G141/1000)</f>
      </c>
      <c r="H142" s="47">
        <f t="shared" si="173"/>
        <v>0.02</v>
      </c>
      <c r="I142" s="43"/>
      <c r="J142" s="47">
        <f t="shared" si="173"/>
      </c>
      <c r="K142" s="43">
        <f t="shared" si="173"/>
      </c>
      <c r="L142" s="118">
        <f t="shared" si="173"/>
      </c>
      <c r="M142" s="72">
        <f t="shared" si="173"/>
      </c>
      <c r="N142" s="82">
        <f t="shared" si="173"/>
      </c>
      <c r="O142" s="48">
        <f aca="true" t="shared" si="174" ref="O142:V142">IF(O141=0,"",обідл*O141/1000)</f>
      </c>
      <c r="P142" s="43">
        <f t="shared" si="174"/>
        <v>0.02</v>
      </c>
      <c r="Q142" s="47">
        <f t="shared" si="174"/>
      </c>
      <c r="R142" s="43">
        <f t="shared" si="174"/>
      </c>
      <c r="S142" s="47">
        <f t="shared" si="174"/>
      </c>
      <c r="T142" s="43">
        <f t="shared" si="174"/>
      </c>
      <c r="U142" s="47">
        <f t="shared" si="174"/>
      </c>
      <c r="V142" s="85">
        <f t="shared" si="174"/>
      </c>
      <c r="W142" s="48">
        <f>IF(W141=0,"",полдникл*W141/1000)</f>
      </c>
      <c r="X142" s="43"/>
      <c r="Y142" s="85">
        <f>IF(Y141=0,"",полдникл*Y141/1000)</f>
      </c>
      <c r="Z142" s="48">
        <f aca="true" t="shared" si="175" ref="Z142:AG142">IF(Z141=0,"",ужинл*Z141/1000)</f>
      </c>
      <c r="AA142" s="47">
        <f t="shared" si="175"/>
        <v>0.02</v>
      </c>
      <c r="AB142" s="43">
        <f t="shared" si="175"/>
      </c>
      <c r="AC142" s="47">
        <f t="shared" si="175"/>
      </c>
      <c r="AD142" s="43">
        <f t="shared" si="175"/>
      </c>
      <c r="AE142" s="47">
        <f t="shared" si="175"/>
      </c>
      <c r="AF142" s="43">
        <f t="shared" si="175"/>
      </c>
      <c r="AG142" s="85">
        <f t="shared" si="175"/>
      </c>
      <c r="AH142" s="142"/>
      <c r="AI142" s="139"/>
      <c r="AJ142" s="140"/>
      <c r="AK142" s="143"/>
      <c r="AL142" s="143"/>
      <c r="AM142" s="132"/>
      <c r="AN142" s="130"/>
      <c r="AQ142" s="54"/>
      <c r="AR142">
        <v>142</v>
      </c>
      <c r="CH142" s="54"/>
      <c r="DE142" s="54"/>
    </row>
    <row r="143" spans="1:109" ht="30.75" customHeight="1">
      <c r="A143" s="163" t="s">
        <v>56</v>
      </c>
      <c r="B143" s="163"/>
      <c r="C143" s="163"/>
      <c r="D143" s="163"/>
      <c r="E143" s="164"/>
      <c r="F143" s="64" t="s">
        <v>95</v>
      </c>
      <c r="G143" s="71">
        <f>VLOOKUP(завтрак1,таб,68,FALSE)</f>
        <v>0</v>
      </c>
      <c r="H143" s="32">
        <f>VLOOKUP(завтрак2,таб,68,FALSE)</f>
        <v>0</v>
      </c>
      <c r="I143" s="33"/>
      <c r="J143" s="32">
        <f>VLOOKUP(завтрак4,таб,68,FALSE)</f>
        <v>0</v>
      </c>
      <c r="K143" s="33">
        <f>VLOOKUP(завтрак5,таб,68,FALSE)</f>
        <v>0</v>
      </c>
      <c r="L143" s="120">
        <f>VLOOKUP(завтрак6,таб,68,FALSE)</f>
        <v>0</v>
      </c>
      <c r="M143" s="71">
        <f>VLOOKUP(завтрак7,таб,68,FALSE)</f>
        <v>0</v>
      </c>
      <c r="N143" s="81">
        <f>VLOOKUP(завтрак8,таб,68,FALSE)</f>
        <v>0</v>
      </c>
      <c r="O143" s="34">
        <f>VLOOKUP(обед1,таб,68,FALSE)</f>
        <v>0</v>
      </c>
      <c r="P143" s="33">
        <f>VLOOKUP(обед2,таб,68,FALSE)</f>
        <v>0</v>
      </c>
      <c r="Q143" s="32">
        <f>VLOOKUP(обед3,таб,68,FALSE)</f>
        <v>0</v>
      </c>
      <c r="R143" s="33">
        <f>VLOOKUP(обед4,таб,68,FALSE)</f>
        <v>0</v>
      </c>
      <c r="S143" s="32">
        <f>VLOOKUP(обед5,таб,68,FALSE)</f>
        <v>0</v>
      </c>
      <c r="T143" s="33">
        <f>VLOOKUP(обед6,таб,68,FALSE)</f>
        <v>0</v>
      </c>
      <c r="U143" s="32">
        <f>VLOOKUP(обед7,таб,68,FALSE)</f>
        <v>0</v>
      </c>
      <c r="V143" s="87">
        <f>VLOOKUP(обед8,таб,68,FALSE)</f>
        <v>0</v>
      </c>
      <c r="W143" s="34">
        <f>VLOOKUP(полдник1,таб,68,FALSE)</f>
        <v>0</v>
      </c>
      <c r="X143" s="33"/>
      <c r="Y143" s="87">
        <f>VLOOKUP(полдник3,таб,68,FALSE)</f>
        <v>0</v>
      </c>
      <c r="Z143" s="34">
        <f>VLOOKUP(ужин1,таб,68,FALSE)</f>
        <v>0</v>
      </c>
      <c r="AA143" s="32">
        <f>VLOOKUP(ужин2,таб,68,FALSE)</f>
        <v>0</v>
      </c>
      <c r="AB143" s="33">
        <f>VLOOKUP(ужин3,таб,68,FALSE)</f>
        <v>0</v>
      </c>
      <c r="AC143" s="32">
        <f>VLOOKUP(ужин4,таб,68,FALSE)</f>
        <v>0</v>
      </c>
      <c r="AD143" s="33">
        <f>VLOOKUP(ужин5,таб,68,FALSE)</f>
        <v>0</v>
      </c>
      <c r="AE143" s="32">
        <f>VLOOKUP(ужин6,таб,68,FALSE)</f>
        <v>0</v>
      </c>
      <c r="AF143" s="33">
        <f>VLOOKUP(ужин7,таб,68,FALSE)</f>
        <v>0</v>
      </c>
      <c r="AG143" s="87">
        <f>VLOOKUP(ужин8,таб,68,FALSE)</f>
        <v>0</v>
      </c>
      <c r="AH143" s="141"/>
      <c r="AI143" s="139">
        <f>AK143/сред</f>
        <v>0</v>
      </c>
      <c r="AJ143" s="140"/>
      <c r="AK143" s="143">
        <f>SUM(G144:AG144)</f>
        <v>0</v>
      </c>
      <c r="AL143" s="143"/>
      <c r="AM143" s="131">
        <f>IF(AK143=0,0,Таблиця!BQ267)</f>
        <v>0</v>
      </c>
      <c r="AN143" s="129">
        <f>AK143*AM143</f>
        <v>0</v>
      </c>
      <c r="AQ143" s="54"/>
      <c r="AR143">
        <v>143</v>
      </c>
      <c r="DE143" s="54"/>
    </row>
    <row r="144" spans="1:109" ht="30.75" customHeight="1">
      <c r="A144" s="163"/>
      <c r="B144" s="163"/>
      <c r="C144" s="163"/>
      <c r="D144" s="163"/>
      <c r="E144" s="164"/>
      <c r="F144" s="59" t="s">
        <v>96</v>
      </c>
      <c r="G144" s="72">
        <f aca="true" t="shared" si="176" ref="G144:N144">IF(G143=0,"",завтракл*G143/1000)</f>
      </c>
      <c r="H144" s="45">
        <f t="shared" si="176"/>
      </c>
      <c r="I144" s="44"/>
      <c r="J144" s="45">
        <f t="shared" si="176"/>
      </c>
      <c r="K144" s="44">
        <f t="shared" si="176"/>
      </c>
      <c r="L144" s="117">
        <f t="shared" si="176"/>
      </c>
      <c r="M144" s="72">
        <f t="shared" si="176"/>
      </c>
      <c r="N144" s="82">
        <f t="shared" si="176"/>
      </c>
      <c r="O144" s="46">
        <f aca="true" t="shared" si="177" ref="O144:V144">IF(O143=0,"",обідл*O143/1000)</f>
      </c>
      <c r="P144" s="44">
        <f t="shared" si="177"/>
      </c>
      <c r="Q144" s="45">
        <f t="shared" si="177"/>
      </c>
      <c r="R144" s="44">
        <f t="shared" si="177"/>
      </c>
      <c r="S144" s="45">
        <f t="shared" si="177"/>
      </c>
      <c r="T144" s="44">
        <f t="shared" si="177"/>
      </c>
      <c r="U144" s="45">
        <f t="shared" si="177"/>
      </c>
      <c r="V144" s="82">
        <f t="shared" si="177"/>
      </c>
      <c r="W144" s="46">
        <f>IF(W143=0,"",полдникл*W143/1000)</f>
      </c>
      <c r="X144" s="44"/>
      <c r="Y144" s="82">
        <f>IF(Y143=0,"",полдникл*Y143/1000)</f>
      </c>
      <c r="Z144" s="46">
        <f aca="true" t="shared" si="178" ref="Z144:AG144">IF(Z143=0,"",ужинл*Z143/1000)</f>
      </c>
      <c r="AA144" s="45">
        <f t="shared" si="178"/>
      </c>
      <c r="AB144" s="44">
        <f t="shared" si="178"/>
      </c>
      <c r="AC144" s="45">
        <f t="shared" si="178"/>
      </c>
      <c r="AD144" s="44">
        <f t="shared" si="178"/>
      </c>
      <c r="AE144" s="45">
        <f t="shared" si="178"/>
      </c>
      <c r="AF144" s="44">
        <f t="shared" si="178"/>
      </c>
      <c r="AG144" s="82">
        <f t="shared" si="178"/>
      </c>
      <c r="AH144" s="142"/>
      <c r="AI144" s="139"/>
      <c r="AJ144" s="140"/>
      <c r="AK144" s="143"/>
      <c r="AL144" s="143"/>
      <c r="AM144" s="132"/>
      <c r="AN144" s="130"/>
      <c r="AQ144" s="54"/>
      <c r="AR144">
        <v>144</v>
      </c>
      <c r="DE144" s="54"/>
    </row>
    <row r="145" spans="1:109" ht="30.75" customHeight="1">
      <c r="A145" s="156" t="s">
        <v>42</v>
      </c>
      <c r="B145" s="156"/>
      <c r="C145" s="156"/>
      <c r="D145" s="156"/>
      <c r="E145" s="157"/>
      <c r="F145" s="64" t="s">
        <v>95</v>
      </c>
      <c r="G145" s="73">
        <f>VLOOKUP(завтрак1,таб,52,FALSE)</f>
        <v>0</v>
      </c>
      <c r="H145" s="35">
        <f>VLOOKUP(завтрак2,таб,52,FALSE)</f>
        <v>0</v>
      </c>
      <c r="I145" s="36"/>
      <c r="J145" s="35">
        <f>VLOOKUP(завтрак4,таб,52,FALSE)</f>
        <v>0</v>
      </c>
      <c r="K145" s="36">
        <f>VLOOKUP(завтрак5,таб,52,FALSE)</f>
        <v>0</v>
      </c>
      <c r="L145" s="121">
        <f>VLOOKUP(завтрак6,таб,52,FALSE)</f>
        <v>0</v>
      </c>
      <c r="M145" s="71">
        <f>VLOOKUP(завтрак7,таб,52,FALSE)</f>
        <v>0</v>
      </c>
      <c r="N145" s="81">
        <f>VLOOKUP(завтрак8,таб,52,FALSE)</f>
        <v>0</v>
      </c>
      <c r="O145" s="37">
        <f>VLOOKUP(обед1,таб,52,FALSE)</f>
        <v>0</v>
      </c>
      <c r="P145" s="36">
        <f>VLOOKUP(обед2,таб,52,FALSE)</f>
        <v>0</v>
      </c>
      <c r="Q145" s="35">
        <f>VLOOKUP(обед3,таб,52,FALSE)</f>
        <v>0</v>
      </c>
      <c r="R145" s="36">
        <f>VLOOKUP(обед4,таб,52,FALSE)</f>
        <v>0</v>
      </c>
      <c r="S145" s="35">
        <f>VLOOKUP(обед5,таб,52,FALSE)</f>
        <v>0</v>
      </c>
      <c r="T145" s="36">
        <f>VLOOKUP(обед6,таб,52,FALSE)</f>
        <v>0</v>
      </c>
      <c r="U145" s="35">
        <f>VLOOKUP(обед7,таб,52,FALSE)</f>
        <v>0</v>
      </c>
      <c r="V145" s="88">
        <f>VLOOKUP(обед8,таб,52,FALSE)</f>
        <v>0</v>
      </c>
      <c r="W145" s="37">
        <f>VLOOKUP(полдник1,таб,52,FALSE)</f>
        <v>0</v>
      </c>
      <c r="X145" s="36"/>
      <c r="Y145" s="88">
        <f>VLOOKUP(полдник3,таб,52,FALSE)</f>
        <v>0</v>
      </c>
      <c r="Z145" s="37">
        <f>VLOOKUP(ужин1,таб,52,FALSE)</f>
        <v>0</v>
      </c>
      <c r="AA145" s="35">
        <f>VLOOKUP(ужин2,таб,52,FALSE)</f>
        <v>0</v>
      </c>
      <c r="AB145" s="36">
        <f>VLOOKUP(ужин3,таб,52,FALSE)</f>
        <v>0</v>
      </c>
      <c r="AC145" s="35">
        <f>VLOOKUP(ужин4,таб,52,FALSE)</f>
        <v>0</v>
      </c>
      <c r="AD145" s="36">
        <f>VLOOKUP(ужин5,таб,52,FALSE)</f>
        <v>0</v>
      </c>
      <c r="AE145" s="35">
        <f>VLOOKUP(ужин6,таб,52,FALSE)</f>
        <v>0</v>
      </c>
      <c r="AF145" s="36">
        <f>VLOOKUP(ужин7,таб,52,FALSE)</f>
        <v>0</v>
      </c>
      <c r="AG145" s="88">
        <f>VLOOKUP(ужин8,таб,52,FALSE)</f>
        <v>0</v>
      </c>
      <c r="AH145" s="141"/>
      <c r="AI145" s="139">
        <f>AK145/сред</f>
        <v>0</v>
      </c>
      <c r="AJ145" s="140"/>
      <c r="AK145" s="143">
        <f>SUM(G146:AG146)</f>
        <v>0</v>
      </c>
      <c r="AL145" s="143"/>
      <c r="AM145" s="131">
        <f>IF(AK145=0,0,Таблиця!EK267)</f>
        <v>0</v>
      </c>
      <c r="AN145" s="129">
        <f>AK145*AM145</f>
        <v>0</v>
      </c>
      <c r="AQ145" s="54"/>
      <c r="AR145">
        <v>145</v>
      </c>
      <c r="DE145" s="54"/>
    </row>
    <row r="146" spans="1:109" ht="30.75" customHeight="1">
      <c r="A146" s="158"/>
      <c r="B146" s="158"/>
      <c r="C146" s="158"/>
      <c r="D146" s="158"/>
      <c r="E146" s="159"/>
      <c r="F146" s="59" t="s">
        <v>96</v>
      </c>
      <c r="G146" s="74">
        <f aca="true" t="shared" si="179" ref="G146:N146">IF(G145=0,"",завтракл*G145/1000)</f>
      </c>
      <c r="H146" s="43">
        <f t="shared" si="179"/>
      </c>
      <c r="I146" s="43"/>
      <c r="J146" s="43">
        <f t="shared" si="179"/>
      </c>
      <c r="K146" s="43">
        <f t="shared" si="179"/>
      </c>
      <c r="L146" s="118">
        <f t="shared" si="179"/>
      </c>
      <c r="M146" s="72">
        <f t="shared" si="179"/>
      </c>
      <c r="N146" s="82">
        <f t="shared" si="179"/>
      </c>
      <c r="O146" s="48">
        <f aca="true" t="shared" si="180" ref="O146:V146">IF(O145=0,"",обідл*O145/1000)</f>
      </c>
      <c r="P146" s="43">
        <f t="shared" si="180"/>
      </c>
      <c r="Q146" s="47">
        <f t="shared" si="180"/>
      </c>
      <c r="R146" s="43">
        <f t="shared" si="180"/>
      </c>
      <c r="S146" s="47">
        <f t="shared" si="180"/>
      </c>
      <c r="T146" s="43">
        <f t="shared" si="180"/>
      </c>
      <c r="U146" s="47">
        <f t="shared" si="180"/>
      </c>
      <c r="V146" s="85">
        <f t="shared" si="180"/>
      </c>
      <c r="W146" s="48">
        <f>IF(W145=0,"",полдникл*W145/1000)</f>
      </c>
      <c r="X146" s="43"/>
      <c r="Y146" s="85">
        <f>IF(Y145=0,"",полдникл*Y145/1000)</f>
      </c>
      <c r="Z146" s="48">
        <f aca="true" t="shared" si="181" ref="Z146:AG146">IF(Z145=0,"",ужинл*Z145/1000)</f>
      </c>
      <c r="AA146" s="47">
        <f t="shared" si="181"/>
      </c>
      <c r="AB146" s="43">
        <f t="shared" si="181"/>
      </c>
      <c r="AC146" s="47">
        <f t="shared" si="181"/>
      </c>
      <c r="AD146" s="43">
        <f t="shared" si="181"/>
      </c>
      <c r="AE146" s="47">
        <f t="shared" si="181"/>
      </c>
      <c r="AF146" s="43">
        <f t="shared" si="181"/>
      </c>
      <c r="AG146" s="85">
        <f t="shared" si="181"/>
      </c>
      <c r="AH146" s="142"/>
      <c r="AI146" s="139"/>
      <c r="AJ146" s="140"/>
      <c r="AK146" s="143"/>
      <c r="AL146" s="143"/>
      <c r="AM146" s="132"/>
      <c r="AN146" s="130"/>
      <c r="AQ146" s="54"/>
      <c r="AR146">
        <v>146</v>
      </c>
      <c r="DE146" s="54"/>
    </row>
    <row r="147" spans="1:109" ht="25.5">
      <c r="A147" s="163" t="s">
        <v>440</v>
      </c>
      <c r="B147" s="163"/>
      <c r="C147" s="163"/>
      <c r="D147" s="163"/>
      <c r="E147" s="164"/>
      <c r="F147" s="64" t="s">
        <v>95</v>
      </c>
      <c r="G147" s="71">
        <f>IF(завтрак1="хліб пшеничний",100,(VLOOKUP(завтрак1,таб,53,FALSE)))</f>
        <v>0</v>
      </c>
      <c r="H147" s="32">
        <f>IF(завтрак2="хліб пшеничний",100,(VLOOKUP(завтрак2,таб,53,FALSE)))</f>
        <v>0</v>
      </c>
      <c r="I147" s="33"/>
      <c r="J147" s="32">
        <f>IF(завтрак4="хліб пшеничний",100,(VLOOKUP(завтрак4,таб,53,FALSE)))</f>
        <v>30</v>
      </c>
      <c r="K147" s="32">
        <f>IF(завтрак5="хліб пшеничний",100,(VLOOKUP(завтрак5,таб,53,FALSE)))</f>
        <v>0</v>
      </c>
      <c r="L147" s="120">
        <f>IF(завтрак6="хліб пшеничний",100,(VLOOKUP(завтрак6,таб,53,FALSE)))</f>
        <v>0</v>
      </c>
      <c r="M147" s="71">
        <f>IF(завтрак7="хліб пшеничний",100,(VLOOKUP(завтрак7,таб,53,FALSE)))</f>
        <v>0</v>
      </c>
      <c r="N147" s="81">
        <f>IF(завтрак8="хліб пшеничний",100,(VLOOKUP(завтрак8,таб,53,FALSE)))</f>
        <v>0</v>
      </c>
      <c r="O147" s="34">
        <f>IF(обед1="хліб пшеничний",150,(VLOOKUP(обед1,таб,53,FALSE)))</f>
        <v>0</v>
      </c>
      <c r="P147" s="33">
        <f>IF(обед2="хліб пшеничний",150,(VLOOKUP(обед2,таб,53,FALSE)))</f>
        <v>0</v>
      </c>
      <c r="Q147" s="32">
        <f>IF(обед3="хліб пшеничний",150,(VLOOKUP(обед3,таб,53,FALSE)))</f>
        <v>0</v>
      </c>
      <c r="R147" s="33">
        <f>IF(обед4="хліб пшеничний",150,(VLOOKUP(обед4,таб,53,FALSE)))</f>
        <v>30</v>
      </c>
      <c r="S147" s="33">
        <f>IF(обед5="хліб пшеничний",150,(VLOOKUP(обед5,таб,53,FALSE)))</f>
        <v>0</v>
      </c>
      <c r="T147" s="33">
        <f>IF(обед6="хліб пшеничний",150,(VLOOKUP(обед6,таб,53,FALSE)))</f>
        <v>0</v>
      </c>
      <c r="U147" s="32">
        <f>IF(обед7="хліб пшеничний",150,(VLOOKUP(обед7,таб,53,FALSE)))</f>
        <v>0</v>
      </c>
      <c r="V147" s="87">
        <f>IF(обед8="хліб пшеничний",150,(VLOOKUP(обед8,таб,53,FALSE)))</f>
        <v>0</v>
      </c>
      <c r="W147" s="34">
        <f>VLOOKUP(полдник1,таб,53,FALSE)</f>
        <v>0</v>
      </c>
      <c r="X147" s="33"/>
      <c r="Y147" s="87">
        <f>VLOOKUP(полдник3,таб,53,FALSE)</f>
        <v>0</v>
      </c>
      <c r="Z147" s="34">
        <f>IF(ужин1="хліб пшеничний",80,(VLOOKUP(ужин1,таб,53,FALSE)))</f>
        <v>0</v>
      </c>
      <c r="AA147" s="32">
        <f>IF(ужин2="хліб пшеничний",80,(VLOOKUP(ужин2,таб,53,FALSE)))</f>
        <v>0</v>
      </c>
      <c r="AB147" s="33">
        <f>IF(ужин3="хліб пшеничний",80,(VLOOKUP(ужин3,таб,53,FALSE)))</f>
        <v>30</v>
      </c>
      <c r="AC147" s="32">
        <f>IF(ужин4="хліб пшеничний",80,(VLOOKUP(ужин4,таб,53,FALSE)))</f>
        <v>0</v>
      </c>
      <c r="AD147" s="32">
        <f>IF(ужин5="хліб пшеничний",80,(VLOOKUP(ужин5,таб,53,FALSE)))</f>
        <v>0</v>
      </c>
      <c r="AE147" s="32">
        <f>IF(ужин6="хліб пшеничний",80,(VLOOKUP(ужин6,таб,53,FALSE)))</f>
        <v>0</v>
      </c>
      <c r="AF147" s="33">
        <f>IF(ужин7="хліб пшеничний",80,(VLOOKUP(ужин7,таб,53,FALSE)))</f>
        <v>0</v>
      </c>
      <c r="AG147" s="87">
        <f>IF(ужин8="хліб пшеничний",80,(VLOOKUP(ужин8,таб,53,FALSE)))</f>
        <v>0</v>
      </c>
      <c r="AH147" s="141">
        <v>616001</v>
      </c>
      <c r="AI147" s="139">
        <f>AK147/сред</f>
        <v>0.09</v>
      </c>
      <c r="AJ147" s="140"/>
      <c r="AK147" s="143">
        <f>SUM(G148:AG148)</f>
        <v>1.7999999999999998</v>
      </c>
      <c r="AL147" s="143"/>
      <c r="AM147" s="131">
        <f>IF(AK147=0,0,Таблиця!DX267)</f>
        <v>27.72</v>
      </c>
      <c r="AN147" s="129">
        <f>AK147*AM147</f>
        <v>49.895999999999994</v>
      </c>
      <c r="AQ147" s="54"/>
      <c r="AR147">
        <v>147</v>
      </c>
      <c r="DE147" s="54"/>
    </row>
    <row r="148" spans="1:109" ht="30.75" customHeight="1">
      <c r="A148" s="163"/>
      <c r="B148" s="163"/>
      <c r="C148" s="163"/>
      <c r="D148" s="163"/>
      <c r="E148" s="164"/>
      <c r="F148" s="59" t="s">
        <v>96</v>
      </c>
      <c r="G148" s="72">
        <f aca="true" t="shared" si="182" ref="G148:N148">IF(G147=0,"",завтракл*G147/1000)</f>
      </c>
      <c r="H148" s="45">
        <f t="shared" si="182"/>
      </c>
      <c r="I148" s="44"/>
      <c r="J148" s="45">
        <f t="shared" si="182"/>
        <v>0.6</v>
      </c>
      <c r="K148" s="44">
        <f t="shared" si="182"/>
      </c>
      <c r="L148" s="117">
        <f t="shared" si="182"/>
      </c>
      <c r="M148" s="72">
        <f t="shared" si="182"/>
      </c>
      <c r="N148" s="82">
        <f t="shared" si="182"/>
      </c>
      <c r="O148" s="46">
        <f aca="true" t="shared" si="183" ref="O148:V148">IF(O147=0,"",обідл*O147/1000)</f>
      </c>
      <c r="P148" s="44">
        <f t="shared" si="183"/>
      </c>
      <c r="Q148" s="45">
        <f t="shared" si="183"/>
      </c>
      <c r="R148" s="44">
        <f t="shared" si="183"/>
        <v>0.6</v>
      </c>
      <c r="S148" s="45">
        <f t="shared" si="183"/>
      </c>
      <c r="T148" s="44">
        <f t="shared" si="183"/>
      </c>
      <c r="U148" s="45">
        <f t="shared" si="183"/>
      </c>
      <c r="V148" s="82">
        <f t="shared" si="183"/>
      </c>
      <c r="W148" s="46">
        <f>IF(W147=0,"",полдникл*W147/1000)</f>
      </c>
      <c r="X148" s="44"/>
      <c r="Y148" s="82">
        <f>IF(Y147=0,"",полдникл*Y147/1000)</f>
      </c>
      <c r="Z148" s="46">
        <f aca="true" t="shared" si="184" ref="Z148:AG148">IF(Z147=0,"",ужинл*Z147/1000)</f>
      </c>
      <c r="AA148" s="45">
        <f t="shared" si="184"/>
      </c>
      <c r="AB148" s="44">
        <f t="shared" si="184"/>
        <v>0.6</v>
      </c>
      <c r="AC148" s="45">
        <f t="shared" si="184"/>
      </c>
      <c r="AD148" s="44">
        <f t="shared" si="184"/>
      </c>
      <c r="AE148" s="45">
        <f t="shared" si="184"/>
      </c>
      <c r="AF148" s="44">
        <f t="shared" si="184"/>
      </c>
      <c r="AG148" s="82">
        <f t="shared" si="184"/>
      </c>
      <c r="AH148" s="142"/>
      <c r="AI148" s="139"/>
      <c r="AJ148" s="140"/>
      <c r="AK148" s="143"/>
      <c r="AL148" s="143"/>
      <c r="AM148" s="132"/>
      <c r="AN148" s="130"/>
      <c r="AQ148" s="54"/>
      <c r="AR148">
        <v>148</v>
      </c>
      <c r="DE148" s="54"/>
    </row>
    <row r="149" spans="1:109" ht="30.75" customHeight="1">
      <c r="A149" s="156" t="s">
        <v>43</v>
      </c>
      <c r="B149" s="156"/>
      <c r="C149" s="156"/>
      <c r="D149" s="156"/>
      <c r="E149" s="157"/>
      <c r="F149" s="64" t="s">
        <v>95</v>
      </c>
      <c r="G149" s="73">
        <f>IF(завтрак1="хліб житній",50,(VLOOKUP(завтрак1,таб,54,FALSE)))</f>
        <v>0</v>
      </c>
      <c r="H149" s="35">
        <f>IF(завтрак2="хліб житній",50,(VLOOKUP(завтрак2,таб,54,FALSE)))</f>
        <v>0</v>
      </c>
      <c r="I149" s="36"/>
      <c r="J149" s="35">
        <f>IF(завтрак4="хліб житній",50,(VLOOKUP(завтрак4,таб,54,FALSE)))</f>
        <v>0</v>
      </c>
      <c r="K149" s="36">
        <f>IF(завтрак5="хліб житній",50,(VLOOKUP(завтрак5,таб,54,FALSE)))</f>
        <v>0</v>
      </c>
      <c r="L149" s="121">
        <f>IF(завтрак6="хліб житній",50,(VLOOKUP(завтрак6,таб,54,FALSE)))</f>
        <v>0</v>
      </c>
      <c r="M149" s="71">
        <f>IF(завтрак7="хліб житній",50,(VLOOKUP(завтрак7,таб,54,FALSE)))</f>
        <v>0</v>
      </c>
      <c r="N149" s="81">
        <f>IF(завтрак8="хліб житній",50,(VLOOKUP(завтрак8,таб,54,FALSE)))</f>
        <v>0</v>
      </c>
      <c r="O149" s="37">
        <f>IF(обед1="хліб житній",100,VLOOKUP(обед1,таб,54,FALSE))</f>
        <v>0</v>
      </c>
      <c r="P149" s="36">
        <f>IF(обед2="хліб житній",100,VLOOKUP(обед2,таб,54,FALSE))</f>
        <v>0</v>
      </c>
      <c r="Q149" s="35">
        <f>IF(обед3="хліб житній",100,VLOOKUP(обед3,таб,54,FALSE))</f>
        <v>0</v>
      </c>
      <c r="R149" s="36">
        <f>IF(обед4="хліб житній",100,VLOOKUP(обед4,таб,54,FALSE))</f>
        <v>0</v>
      </c>
      <c r="S149" s="35">
        <f>IF(обед5="хліб житній",100,VLOOKUP(обед5,таб,54,FALSE))</f>
        <v>0</v>
      </c>
      <c r="T149" s="36">
        <f>IF(обед6="хліб житній",100,VLOOKUP(обед6,таб,54,FALSE))</f>
        <v>0</v>
      </c>
      <c r="U149" s="35">
        <f>IF(обед7="хліб житній",100,VLOOKUP(обед7,таб,54,FALSE))</f>
        <v>0</v>
      </c>
      <c r="V149" s="88">
        <f>IF(обед8="хліб житній",100,VLOOKUP(обед8,таб,54,FALSE))</f>
        <v>0</v>
      </c>
      <c r="W149" s="37">
        <f>VLOOKUP(полдник1,таб,54,FALSE)</f>
        <v>0</v>
      </c>
      <c r="X149" s="36"/>
      <c r="Y149" s="88">
        <f>VLOOKUP(полдник3,таб,54,FALSE)</f>
        <v>0</v>
      </c>
      <c r="Z149" s="37">
        <f>IF(ужин1="хліб житній",50,VLOOKUP(ужин1,таб,54,FALSE))</f>
        <v>0</v>
      </c>
      <c r="AA149" s="35">
        <f>IF(ужин2="хліб житній",50,VLOOKUP(ужин2,таб,54,FALSE))</f>
        <v>0</v>
      </c>
      <c r="AB149" s="36">
        <f>IF(ужин3="хліб житній",50,VLOOKUP(ужин3,таб,54,FALSE))</f>
        <v>0</v>
      </c>
      <c r="AC149" s="35">
        <f>IF(ужин4="хліб житній",50,VLOOKUP(ужин4,таб,54,FALSE))</f>
        <v>0</v>
      </c>
      <c r="AD149" s="36">
        <f>IF(ужин5="хліб житній",50,VLOOKUP(ужин5,таб,54,FALSE))</f>
        <v>0</v>
      </c>
      <c r="AE149" s="35">
        <f>IF(ужин6="хліб житній",50,VLOOKUP(ужин6,таб,54,FALSE))</f>
        <v>0</v>
      </c>
      <c r="AF149" s="36">
        <f>IF(ужин7="хліб житній",50,VLOOKUP(ужин7,таб,54,FALSE))</f>
        <v>0</v>
      </c>
      <c r="AG149" s="88">
        <f>IF(ужин8="хліб житній",50,VLOOKUP(ужин8,таб,54,FALSE))</f>
        <v>0</v>
      </c>
      <c r="AH149" s="141">
        <v>616002</v>
      </c>
      <c r="AI149" s="139">
        <f>AK149/сред</f>
        <v>0</v>
      </c>
      <c r="AJ149" s="140"/>
      <c r="AK149" s="143">
        <f>SUM(G150:AG150)</f>
        <v>0</v>
      </c>
      <c r="AL149" s="143"/>
      <c r="AM149" s="131">
        <f>IF(AK149=0,0,Таблиця!BC267)</f>
        <v>0</v>
      </c>
      <c r="AN149" s="129">
        <f>AK149*AM149</f>
        <v>0</v>
      </c>
      <c r="AQ149" s="54"/>
      <c r="AR149">
        <v>149</v>
      </c>
      <c r="DE149" s="54"/>
    </row>
    <row r="150" spans="1:109" ht="30.75" customHeight="1">
      <c r="A150" s="158"/>
      <c r="B150" s="158"/>
      <c r="C150" s="158"/>
      <c r="D150" s="158"/>
      <c r="E150" s="159"/>
      <c r="F150" s="65" t="s">
        <v>96</v>
      </c>
      <c r="G150" s="74">
        <f aca="true" t="shared" si="185" ref="G150:N150">IF(G149=0,"",завтракл*G149/1000)</f>
      </c>
      <c r="H150" s="43">
        <f t="shared" si="185"/>
      </c>
      <c r="I150" s="43"/>
      <c r="J150" s="43">
        <f t="shared" si="185"/>
      </c>
      <c r="K150" s="43">
        <f t="shared" si="185"/>
      </c>
      <c r="L150" s="118">
        <f t="shared" si="185"/>
      </c>
      <c r="M150" s="72">
        <f t="shared" si="185"/>
      </c>
      <c r="N150" s="82">
        <f t="shared" si="185"/>
      </c>
      <c r="O150" s="48">
        <f aca="true" t="shared" si="186" ref="O150:V150">IF(O149=0,"",обідл*O149/1000)</f>
      </c>
      <c r="P150" s="43">
        <f t="shared" si="186"/>
      </c>
      <c r="Q150" s="47">
        <f t="shared" si="186"/>
      </c>
      <c r="R150" s="43">
        <f t="shared" si="186"/>
      </c>
      <c r="S150" s="47">
        <f t="shared" si="186"/>
      </c>
      <c r="T150" s="43">
        <f t="shared" si="186"/>
      </c>
      <c r="U150" s="47">
        <f t="shared" si="186"/>
      </c>
      <c r="V150" s="85">
        <f t="shared" si="186"/>
      </c>
      <c r="W150" s="48">
        <f>IF(W149=0,"",полдникл*W149/1000)</f>
      </c>
      <c r="X150" s="43"/>
      <c r="Y150" s="85">
        <f>IF(Y149=0,"",полдникл*Y149/1000)</f>
      </c>
      <c r="Z150" s="48">
        <f aca="true" t="shared" si="187" ref="Z150:AG150">IF(Z149=0,"",ужинл*Z149/1000)</f>
      </c>
      <c r="AA150" s="47">
        <f t="shared" si="187"/>
      </c>
      <c r="AB150" s="43">
        <f t="shared" si="187"/>
      </c>
      <c r="AC150" s="47">
        <f t="shared" si="187"/>
      </c>
      <c r="AD150" s="43">
        <f t="shared" si="187"/>
      </c>
      <c r="AE150" s="47">
        <f t="shared" si="187"/>
      </c>
      <c r="AF150" s="43">
        <f t="shared" si="187"/>
      </c>
      <c r="AG150" s="85">
        <f t="shared" si="187"/>
      </c>
      <c r="AH150" s="142"/>
      <c r="AI150" s="139"/>
      <c r="AJ150" s="140"/>
      <c r="AK150" s="143"/>
      <c r="AL150" s="143"/>
      <c r="AM150" s="132"/>
      <c r="AN150" s="130"/>
      <c r="AQ150" s="54"/>
      <c r="AR150">
        <v>150</v>
      </c>
      <c r="DE150" s="54"/>
    </row>
    <row r="151" spans="1:109" ht="30.75" customHeight="1">
      <c r="A151" s="152" t="s">
        <v>125</v>
      </c>
      <c r="B151" s="152"/>
      <c r="C151" s="152"/>
      <c r="D151" s="152"/>
      <c r="E151" s="153"/>
      <c r="F151" s="64" t="s">
        <v>95</v>
      </c>
      <c r="G151" s="71">
        <f>VLOOKUP(завтрак1,таб,55,FALSE)</f>
        <v>0</v>
      </c>
      <c r="H151" s="26">
        <f>VLOOKUP(завтрак2,таб,55,FALSE)</f>
        <v>0</v>
      </c>
      <c r="I151" s="26"/>
      <c r="J151" s="26">
        <f>VLOOKUP(завтрак4,таб,55,FALSE)</f>
        <v>0</v>
      </c>
      <c r="K151" s="26">
        <f>VLOOKUP(завтрак5,таб,55,FALSE)</f>
        <v>0</v>
      </c>
      <c r="L151" s="116">
        <f>VLOOKUP(завтрак6,таб,55,FALSE)</f>
        <v>0</v>
      </c>
      <c r="M151" s="71">
        <f>VLOOKUP(завтрак7,таб,55,FALSE)</f>
        <v>0</v>
      </c>
      <c r="N151" s="81">
        <f>VLOOKUP(завтрак8,таб,55,FALSE)</f>
        <v>0</v>
      </c>
      <c r="O151" s="34">
        <f>VLOOKUP(обед1,таб,55,FALSE)</f>
        <v>0</v>
      </c>
      <c r="P151" s="33">
        <f>VLOOKUP(обед2,таб,55,FALSE)</f>
        <v>0</v>
      </c>
      <c r="Q151" s="32">
        <f>VLOOKUP(обед3,таб,55,FALSE)</f>
        <v>0</v>
      </c>
      <c r="R151" s="33">
        <f>VLOOKUP(обед4,таб,55,FALSE)</f>
        <v>0</v>
      </c>
      <c r="S151" s="32">
        <f>VLOOKUP(обед5,таб,55,FALSE)</f>
        <v>0</v>
      </c>
      <c r="T151" s="33">
        <f>VLOOKUP(обед6,таб,55,FALSE)</f>
        <v>0</v>
      </c>
      <c r="U151" s="32">
        <f>VLOOKUP(обед7,таб,55,FALSE)</f>
        <v>0</v>
      </c>
      <c r="V151" s="87">
        <f>VLOOKUP(обед8,таб,55,FALSE)</f>
        <v>0</v>
      </c>
      <c r="W151" s="34">
        <f>VLOOKUP(полдник1,таб,55,FALSE)</f>
        <v>0</v>
      </c>
      <c r="X151" s="33"/>
      <c r="Y151" s="87">
        <f>VLOOKUP(полдник3,таб,55,FALSE)</f>
        <v>0</v>
      </c>
      <c r="Z151" s="34">
        <f>VLOOKUP(ужин1,таб,55,FALSE)</f>
        <v>0</v>
      </c>
      <c r="AA151" s="32">
        <f>VLOOKUP(ужин2,таб,55,FALSE)</f>
        <v>0</v>
      </c>
      <c r="AB151" s="33">
        <f>VLOOKUP(ужин3,таб,55,FALSE)</f>
        <v>0</v>
      </c>
      <c r="AC151" s="32">
        <f>VLOOKUP(ужин4,таб,55,FALSE)</f>
        <v>0</v>
      </c>
      <c r="AD151" s="33">
        <f>VLOOKUP(ужин5,таб,55,FALSE)</f>
        <v>0</v>
      </c>
      <c r="AE151" s="32">
        <f>VLOOKUP(ужин6,таб,55,FALSE)</f>
        <v>0</v>
      </c>
      <c r="AF151" s="33">
        <f>VLOOKUP(ужин7,таб,55,FALSE)</f>
        <v>0</v>
      </c>
      <c r="AG151" s="87">
        <f>VLOOKUP(ужин8,таб,55,FALSE)</f>
        <v>0</v>
      </c>
      <c r="AH151" s="141"/>
      <c r="AI151" s="221">
        <f>AK151/сред</f>
        <v>0</v>
      </c>
      <c r="AJ151" s="222"/>
      <c r="AK151" s="222">
        <f>SUM(G152:AG152)</f>
        <v>0</v>
      </c>
      <c r="AL151" s="222"/>
      <c r="AM151" s="131">
        <f>IF(AK151=0,0,Таблиця!BD267)</f>
        <v>0</v>
      </c>
      <c r="AN151" s="129">
        <f>AK151*AM151</f>
        <v>0</v>
      </c>
      <c r="AQ151" s="54"/>
      <c r="AR151">
        <v>151</v>
      </c>
      <c r="DE151" s="54"/>
    </row>
    <row r="152" spans="1:109" ht="30.75" customHeight="1">
      <c r="A152" s="152"/>
      <c r="B152" s="152"/>
      <c r="C152" s="152"/>
      <c r="D152" s="152"/>
      <c r="E152" s="153"/>
      <c r="F152" s="65" t="s">
        <v>96</v>
      </c>
      <c r="G152" s="72">
        <f aca="true" t="shared" si="188" ref="G152:N152">IF(G151=0,"",завтракл*G151/1000)</f>
      </c>
      <c r="H152" s="23">
        <f t="shared" si="188"/>
      </c>
      <c r="I152" s="23"/>
      <c r="J152" s="23">
        <f t="shared" si="188"/>
      </c>
      <c r="K152" s="23">
        <f t="shared" si="188"/>
      </c>
      <c r="L152" s="122">
        <f t="shared" si="188"/>
      </c>
      <c r="M152" s="75">
        <f t="shared" si="188"/>
      </c>
      <c r="N152" s="83">
        <f t="shared" si="188"/>
      </c>
      <c r="O152" s="25">
        <f aca="true" t="shared" si="189" ref="O152:V152">IF(O151=0,"",обідл*O151/1000)</f>
      </c>
      <c r="P152" s="23">
        <f t="shared" si="189"/>
      </c>
      <c r="Q152" s="23">
        <f t="shared" si="189"/>
      </c>
      <c r="R152" s="23">
        <f t="shared" si="189"/>
      </c>
      <c r="S152" s="23">
        <f t="shared" si="189"/>
      </c>
      <c r="T152" s="23">
        <f t="shared" si="189"/>
      </c>
      <c r="U152" s="23">
        <f t="shared" si="189"/>
      </c>
      <c r="V152" s="83">
        <f t="shared" si="189"/>
      </c>
      <c r="W152" s="25">
        <f>IF(W151=0,"",полдникл*W151/1000)</f>
      </c>
      <c r="X152" s="23"/>
      <c r="Y152" s="83">
        <f>IF(Y151=0,"",полдникл*Y151/1000)</f>
      </c>
      <c r="Z152" s="25">
        <f aca="true" t="shared" si="190" ref="Z152:AG152">IF(Z151=0,"",ужинл*Z151/1000)</f>
      </c>
      <c r="AA152" s="23">
        <f t="shared" si="190"/>
      </c>
      <c r="AB152" s="23">
        <f t="shared" si="190"/>
      </c>
      <c r="AC152" s="23">
        <f t="shared" si="190"/>
      </c>
      <c r="AD152" s="23">
        <f t="shared" si="190"/>
      </c>
      <c r="AE152" s="23">
        <f t="shared" si="190"/>
      </c>
      <c r="AF152" s="23">
        <f t="shared" si="190"/>
      </c>
      <c r="AG152" s="83">
        <f t="shared" si="190"/>
      </c>
      <c r="AH152" s="142"/>
      <c r="AI152" s="221"/>
      <c r="AJ152" s="222"/>
      <c r="AK152" s="222"/>
      <c r="AL152" s="222"/>
      <c r="AM152" s="132"/>
      <c r="AN152" s="130"/>
      <c r="AQ152" s="54"/>
      <c r="AR152">
        <v>152</v>
      </c>
      <c r="DE152" s="54"/>
    </row>
    <row r="153" spans="1:109" ht="30.75" customHeight="1">
      <c r="A153" s="156" t="s">
        <v>536</v>
      </c>
      <c r="B153" s="156"/>
      <c r="C153" s="156"/>
      <c r="D153" s="156"/>
      <c r="E153" s="157"/>
      <c r="F153" s="64" t="s">
        <v>95</v>
      </c>
      <c r="G153" s="73">
        <f>VLOOKUP(завтрак1,таб,56,FALSE)</f>
        <v>0</v>
      </c>
      <c r="H153" s="29">
        <f>VLOOKUP(завтрак2,таб,56,FALSE)</f>
        <v>0</v>
      </c>
      <c r="I153" s="29"/>
      <c r="J153" s="29">
        <f>VLOOKUP(завтрак4,таб,56,FALSE)</f>
        <v>0</v>
      </c>
      <c r="K153" s="29">
        <f>VLOOKUP(завтрак5,таб,56,FALSE)</f>
        <v>0</v>
      </c>
      <c r="L153" s="119">
        <f>VLOOKUP(завтрак6,таб,56,FALSE)</f>
        <v>0</v>
      </c>
      <c r="M153" s="71">
        <f>VLOOKUP(завтрак7,таб,56,FALSE)</f>
        <v>0</v>
      </c>
      <c r="N153" s="81">
        <f>VLOOKUP(завтрак8,таб,56,FALSE)</f>
        <v>0</v>
      </c>
      <c r="O153" s="37">
        <f>VLOOKUP(обед1,таб,56,FALSE)</f>
        <v>0</v>
      </c>
      <c r="P153" s="36">
        <f>VLOOKUP(обед2,таб,56,FALSE)</f>
        <v>0</v>
      </c>
      <c r="Q153" s="35">
        <f>VLOOKUP(обед3,таб,56,FALSE)</f>
        <v>0</v>
      </c>
      <c r="R153" s="36">
        <f>VLOOKUP(обед4,таб,56,FALSE)</f>
        <v>0</v>
      </c>
      <c r="S153" s="35">
        <f>VLOOKUP(обед5,таб,56,FALSE)</f>
        <v>0</v>
      </c>
      <c r="T153" s="36">
        <f>VLOOKUP(обед6,таб,56,FALSE)</f>
        <v>0</v>
      </c>
      <c r="U153" s="35">
        <f>VLOOKUP(обед7,таб,56,FALSE)</f>
        <v>0</v>
      </c>
      <c r="V153" s="88">
        <f>VLOOKUP(обед8,таб,56,FALSE)</f>
        <v>0</v>
      </c>
      <c r="W153" s="37">
        <f>VLOOKUP(полдник1,таб,56,FALSE)</f>
        <v>0</v>
      </c>
      <c r="X153" s="36"/>
      <c r="Y153" s="88">
        <f>VLOOKUP(полдник3,таб,56,FALSE)</f>
        <v>0</v>
      </c>
      <c r="Z153" s="37">
        <f>VLOOKUP(ужин1,таб,56,FALSE)</f>
        <v>0</v>
      </c>
      <c r="AA153" s="35">
        <f>VLOOKUP(ужин2,таб,56,FALSE)</f>
        <v>0</v>
      </c>
      <c r="AB153" s="36">
        <f>VLOOKUP(ужин3,таб,56,FALSE)</f>
        <v>0</v>
      </c>
      <c r="AC153" s="35">
        <f>VLOOKUP(ужин4,таб,56,FALSE)</f>
        <v>0</v>
      </c>
      <c r="AD153" s="36">
        <f>VLOOKUP(ужин5,таб,56,FALSE)</f>
        <v>0</v>
      </c>
      <c r="AE153" s="35">
        <f>VLOOKUP(ужин6,таб,56,FALSE)</f>
        <v>0</v>
      </c>
      <c r="AF153" s="36">
        <f>VLOOKUP(ужин7,таб,56,FALSE)</f>
        <v>0</v>
      </c>
      <c r="AG153" s="88">
        <f>VLOOKUP(ужин8,таб,56,FALSE)</f>
        <v>0</v>
      </c>
      <c r="AH153" s="141"/>
      <c r="AI153" s="139">
        <f>AK153/сред</f>
        <v>0</v>
      </c>
      <c r="AJ153" s="140"/>
      <c r="AK153" s="143">
        <f>SUM(G154:AG154)</f>
        <v>0</v>
      </c>
      <c r="AL153" s="143"/>
      <c r="AM153" s="131">
        <f>IF(AK153=0,0,Таблиця!BE267)</f>
        <v>0</v>
      </c>
      <c r="AN153" s="129">
        <f>AK153*AM153</f>
        <v>0</v>
      </c>
      <c r="AQ153" s="54"/>
      <c r="AR153">
        <v>153</v>
      </c>
      <c r="DE153" s="54"/>
    </row>
    <row r="154" spans="1:109" ht="30.75" customHeight="1">
      <c r="A154" s="158"/>
      <c r="B154" s="158"/>
      <c r="C154" s="158"/>
      <c r="D154" s="158"/>
      <c r="E154" s="159"/>
      <c r="F154" s="65" t="s">
        <v>96</v>
      </c>
      <c r="G154" s="74">
        <f aca="true" t="shared" si="191" ref="G154:N154">IF(G153=0,"",завтракл*G153/1000)</f>
      </c>
      <c r="H154" s="43">
        <f t="shared" si="191"/>
      </c>
      <c r="I154" s="43"/>
      <c r="J154" s="43">
        <f t="shared" si="191"/>
      </c>
      <c r="K154" s="43">
        <f t="shared" si="191"/>
      </c>
      <c r="L154" s="118">
        <f t="shared" si="191"/>
      </c>
      <c r="M154" s="74">
        <f t="shared" si="191"/>
      </c>
      <c r="N154" s="85">
        <f t="shared" si="191"/>
      </c>
      <c r="O154" s="48">
        <f aca="true" t="shared" si="192" ref="O154:V154">IF(O153=0,"",обідл*O153/1000)</f>
      </c>
      <c r="P154" s="43">
        <f t="shared" si="192"/>
      </c>
      <c r="Q154" s="43">
        <f t="shared" si="192"/>
      </c>
      <c r="R154" s="43">
        <f t="shared" si="192"/>
      </c>
      <c r="S154" s="43">
        <f t="shared" si="192"/>
      </c>
      <c r="T154" s="43">
        <f t="shared" si="192"/>
      </c>
      <c r="U154" s="43">
        <f t="shared" si="192"/>
      </c>
      <c r="V154" s="85">
        <f t="shared" si="192"/>
      </c>
      <c r="W154" s="48">
        <f>IF(W153=0,"",полдникл*W153/1000)</f>
      </c>
      <c r="X154" s="43"/>
      <c r="Y154" s="85">
        <f>IF(Y153=0,"",полдникл*Y153/1000)</f>
      </c>
      <c r="Z154" s="48">
        <f aca="true" t="shared" si="193" ref="Z154:AG154">IF(Z153=0,"",ужинл*Z153/1000)</f>
      </c>
      <c r="AA154" s="43">
        <f t="shared" si="193"/>
      </c>
      <c r="AB154" s="43">
        <f t="shared" si="193"/>
      </c>
      <c r="AC154" s="43">
        <f t="shared" si="193"/>
      </c>
      <c r="AD154" s="43">
        <f t="shared" si="193"/>
      </c>
      <c r="AE154" s="43">
        <f t="shared" si="193"/>
      </c>
      <c r="AF154" s="43">
        <f t="shared" si="193"/>
      </c>
      <c r="AG154" s="85">
        <f t="shared" si="193"/>
      </c>
      <c r="AH154" s="142"/>
      <c r="AI154" s="139"/>
      <c r="AJ154" s="140"/>
      <c r="AK154" s="143"/>
      <c r="AL154" s="143"/>
      <c r="AM154" s="132"/>
      <c r="AN154" s="130"/>
      <c r="AQ154" s="54"/>
      <c r="AR154">
        <v>154</v>
      </c>
      <c r="DE154" s="54"/>
    </row>
    <row r="155" spans="1:109" ht="30.75" customHeight="1">
      <c r="A155" s="163" t="s">
        <v>114</v>
      </c>
      <c r="B155" s="163"/>
      <c r="C155" s="163"/>
      <c r="D155" s="163"/>
      <c r="E155" s="164"/>
      <c r="F155" s="64" t="s">
        <v>95</v>
      </c>
      <c r="G155" s="71">
        <f>VLOOKUP(завтрак1,таб,57,FALSE)</f>
        <v>0</v>
      </c>
      <c r="H155" s="26">
        <f>VLOOKUP(завтрак2,таб,57,FALSE)</f>
        <v>0</v>
      </c>
      <c r="I155" s="26"/>
      <c r="J155" s="26">
        <f>VLOOKUP(завтрак4,таб,57,FALSE)</f>
        <v>0</v>
      </c>
      <c r="K155" s="26">
        <f>VLOOKUP(завтрак5,таб,57,FALSE)</f>
        <v>0</v>
      </c>
      <c r="L155" s="116">
        <f>VLOOKUP(завтрак6,таб,57,FALSE)</f>
        <v>0</v>
      </c>
      <c r="M155" s="71">
        <f>VLOOKUP(завтрак7,таб,57,FALSE)</f>
        <v>0</v>
      </c>
      <c r="N155" s="81">
        <f>VLOOKUP(завтрак8,таб,57,FALSE)</f>
        <v>0</v>
      </c>
      <c r="O155" s="34">
        <f>VLOOKUP(обед1,таб,57,FALSE)</f>
        <v>0</v>
      </c>
      <c r="P155" s="33">
        <f>VLOOKUP(обед2,таб,57,FALSE)</f>
        <v>0</v>
      </c>
      <c r="Q155" s="32">
        <f>VLOOKUP(обед3,таб,57,FALSE)</f>
        <v>0</v>
      </c>
      <c r="R155" s="33">
        <f>VLOOKUP(обед4,таб,57,FALSE)</f>
        <v>0</v>
      </c>
      <c r="S155" s="32">
        <f>VLOOKUP(обед5,таб,57,FALSE)</f>
        <v>0</v>
      </c>
      <c r="T155" s="33">
        <f>VLOOKUP(обед6,таб,57,FALSE)</f>
        <v>0</v>
      </c>
      <c r="U155" s="32">
        <f>VLOOKUP(обед7,таб,57,FALSE)</f>
        <v>0</v>
      </c>
      <c r="V155" s="87">
        <f>VLOOKUP(обед8,таб,57,FALSE)</f>
        <v>0</v>
      </c>
      <c r="W155" s="34">
        <f>VLOOKUP(полдник1,таб,57,FALSE)</f>
        <v>0</v>
      </c>
      <c r="X155" s="33"/>
      <c r="Y155" s="87">
        <f>VLOOKUP(полдник3,таб,57,FALSE)</f>
        <v>0</v>
      </c>
      <c r="Z155" s="34">
        <f>VLOOKUP(ужин1,таб,57,FALSE)</f>
        <v>0</v>
      </c>
      <c r="AA155" s="32">
        <f>VLOOKUP(ужин2,таб,57,FALSE)</f>
        <v>0</v>
      </c>
      <c r="AB155" s="33">
        <f>VLOOKUP(ужин3,таб,57,FALSE)</f>
        <v>0</v>
      </c>
      <c r="AC155" s="32">
        <f>VLOOKUP(ужин4,таб,57,FALSE)</f>
        <v>0</v>
      </c>
      <c r="AD155" s="33">
        <f>VLOOKUP(ужин5,таб,57,FALSE)</f>
        <v>0</v>
      </c>
      <c r="AE155" s="32">
        <f>VLOOKUP(ужин6,таб,57,FALSE)</f>
        <v>0</v>
      </c>
      <c r="AF155" s="33">
        <f>VLOOKUP(ужин7,таб,57,FALSE)</f>
        <v>0</v>
      </c>
      <c r="AG155" s="87">
        <f>VLOOKUP(ужин8,таб,57,FALSE)</f>
        <v>0</v>
      </c>
      <c r="AH155" s="141"/>
      <c r="AI155" s="139">
        <f>AK155/сред</f>
        <v>0</v>
      </c>
      <c r="AJ155" s="140"/>
      <c r="AK155" s="143">
        <f>SUM(G156:AG156)</f>
        <v>0</v>
      </c>
      <c r="AL155" s="143"/>
      <c r="AM155" s="131">
        <f>IF(AK155=0,0,Таблиця!BF267)</f>
        <v>0</v>
      </c>
      <c r="AN155" s="129">
        <f>AK155*AM155</f>
        <v>0</v>
      </c>
      <c r="AQ155" s="54"/>
      <c r="AR155">
        <v>155</v>
      </c>
      <c r="DE155" s="54"/>
    </row>
    <row r="156" spans="1:109" ht="30.75" customHeight="1">
      <c r="A156" s="163"/>
      <c r="B156" s="163"/>
      <c r="C156" s="163"/>
      <c r="D156" s="163"/>
      <c r="E156" s="164"/>
      <c r="F156" s="65" t="s">
        <v>96</v>
      </c>
      <c r="G156" s="72">
        <f aca="true" t="shared" si="194" ref="G156:N156">IF(G155=0,"",завтракл*G155/1000)</f>
      </c>
      <c r="H156" s="44">
        <f t="shared" si="194"/>
      </c>
      <c r="I156" s="44"/>
      <c r="J156" s="44">
        <f t="shared" si="194"/>
      </c>
      <c r="K156" s="44">
        <f t="shared" si="194"/>
      </c>
      <c r="L156" s="117">
        <f t="shared" si="194"/>
      </c>
      <c r="M156" s="72">
        <f t="shared" si="194"/>
      </c>
      <c r="N156" s="82">
        <f t="shared" si="194"/>
      </c>
      <c r="O156" s="46">
        <f aca="true" t="shared" si="195" ref="O156:V156">IF(O155=0,"",обідл*O155/1000)</f>
      </c>
      <c r="P156" s="44">
        <f t="shared" si="195"/>
      </c>
      <c r="Q156" s="44">
        <f t="shared" si="195"/>
      </c>
      <c r="R156" s="44">
        <f t="shared" si="195"/>
      </c>
      <c r="S156" s="44">
        <f t="shared" si="195"/>
      </c>
      <c r="T156" s="44">
        <f t="shared" si="195"/>
      </c>
      <c r="U156" s="44">
        <f t="shared" si="195"/>
      </c>
      <c r="V156" s="82">
        <f t="shared" si="195"/>
      </c>
      <c r="W156" s="46">
        <f>IF(W155=0,"",полдникл*W155/1000)</f>
      </c>
      <c r="X156" s="44"/>
      <c r="Y156" s="82">
        <f>IF(Y155=0,"",полдникл*Y155/1000)</f>
      </c>
      <c r="Z156" s="46">
        <f aca="true" t="shared" si="196" ref="Z156:AG156">IF(Z155=0,"",ужинл*Z155/1000)</f>
      </c>
      <c r="AA156" s="44">
        <f t="shared" si="196"/>
      </c>
      <c r="AB156" s="44">
        <f t="shared" si="196"/>
      </c>
      <c r="AC156" s="44">
        <f t="shared" si="196"/>
      </c>
      <c r="AD156" s="44">
        <f t="shared" si="196"/>
      </c>
      <c r="AE156" s="44">
        <f t="shared" si="196"/>
      </c>
      <c r="AF156" s="44">
        <f t="shared" si="196"/>
      </c>
      <c r="AG156" s="82">
        <f t="shared" si="196"/>
      </c>
      <c r="AH156" s="142"/>
      <c r="AI156" s="139"/>
      <c r="AJ156" s="140"/>
      <c r="AK156" s="143"/>
      <c r="AL156" s="143"/>
      <c r="AM156" s="132"/>
      <c r="AN156" s="130"/>
      <c r="AQ156" s="54"/>
      <c r="AR156">
        <v>156</v>
      </c>
      <c r="DE156" s="54"/>
    </row>
    <row r="157" spans="1:109" ht="25.5">
      <c r="A157" s="156" t="s">
        <v>45</v>
      </c>
      <c r="B157" s="156"/>
      <c r="C157" s="156"/>
      <c r="D157" s="156"/>
      <c r="E157" s="157"/>
      <c r="F157" s="64" t="s">
        <v>95</v>
      </c>
      <c r="G157" s="73">
        <f>VLOOKUP(завтрак1,таб,58,FALSE)</f>
        <v>0</v>
      </c>
      <c r="H157" s="35">
        <f>VLOOKUP(завтрак2,таб,58,FALSE)</f>
        <v>0</v>
      </c>
      <c r="I157" s="36"/>
      <c r="J157" s="35">
        <f>VLOOKUP(завтрак4,таб,58,FALSE)</f>
        <v>0</v>
      </c>
      <c r="K157" s="36">
        <f>VLOOKUP(завтрак5,таб,58,FALSE)</f>
        <v>0</v>
      </c>
      <c r="L157" s="121">
        <f>VLOOKUP(завтрак6,таб,58,FALSE)</f>
        <v>0</v>
      </c>
      <c r="M157" s="71">
        <f>VLOOKUP(завтрак7,таб,58,FALSE)</f>
        <v>0</v>
      </c>
      <c r="N157" s="81">
        <f>VLOOKUP(завтрак8,таб,58,FALSE)</f>
        <v>0</v>
      </c>
      <c r="O157" s="37">
        <f>VLOOKUP(обед1,таб,58,FALSE)</f>
        <v>0</v>
      </c>
      <c r="P157" s="36">
        <f>VLOOKUP(обед2,таб,58,FALSE)</f>
        <v>0</v>
      </c>
      <c r="Q157" s="35">
        <f>VLOOKUP(обед3,таб,58,FALSE)</f>
        <v>0</v>
      </c>
      <c r="R157" s="36">
        <f>VLOOKUP(обед4,таб,58,FALSE)</f>
        <v>0</v>
      </c>
      <c r="S157" s="35">
        <f>VLOOKUP(обед5,таб,58,FALSE)</f>
        <v>0</v>
      </c>
      <c r="T157" s="36">
        <f>VLOOKUP(обед6,таб,58,FALSE)</f>
        <v>0</v>
      </c>
      <c r="U157" s="35">
        <f>VLOOKUP(обед7,таб,58,FALSE)</f>
        <v>0</v>
      </c>
      <c r="V157" s="88">
        <f>VLOOKUP(обед8,таб,58,FALSE)</f>
        <v>0</v>
      </c>
      <c r="W157" s="37">
        <f>VLOOKUP(полдник1,таб,58,FALSE)</f>
        <v>0</v>
      </c>
      <c r="X157" s="36"/>
      <c r="Y157" s="88">
        <f>VLOOKUP(полдник3,таб,58,FALSE)</f>
        <v>0</v>
      </c>
      <c r="Z157" s="37">
        <f>VLOOKUP(ужин1,таб,58,FALSE)</f>
        <v>0</v>
      </c>
      <c r="AA157" s="35">
        <f>VLOOKUP(ужин2,таб,58,FALSE)</f>
        <v>0</v>
      </c>
      <c r="AB157" s="36">
        <f>VLOOKUP(ужин3,таб,58,FALSE)</f>
        <v>0</v>
      </c>
      <c r="AC157" s="35">
        <f>VLOOKUP(ужин4,таб,58,FALSE)</f>
        <v>0</v>
      </c>
      <c r="AD157" s="36">
        <f>VLOOKUP(ужин5,таб,58,FALSE)</f>
        <v>0</v>
      </c>
      <c r="AE157" s="35">
        <f>VLOOKUP(ужин6,таб,58,FALSE)</f>
        <v>0</v>
      </c>
      <c r="AF157" s="36">
        <f>VLOOKUP(ужин7,таб,58,FALSE)</f>
        <v>0</v>
      </c>
      <c r="AG157" s="88">
        <f>VLOOKUP(ужин8,таб,58,FALSE)</f>
        <v>0</v>
      </c>
      <c r="AH157" s="141">
        <v>616015</v>
      </c>
      <c r="AI157" s="139">
        <f>AK157/сред</f>
        <v>0</v>
      </c>
      <c r="AJ157" s="140"/>
      <c r="AK157" s="143">
        <f>SUM(G158:AG158)</f>
        <v>0</v>
      </c>
      <c r="AL157" s="143"/>
      <c r="AM157" s="131">
        <f>IF(AK157=0,0,Таблиця!EL267)</f>
        <v>0</v>
      </c>
      <c r="AN157" s="129">
        <f>AK157*AM157</f>
        <v>0</v>
      </c>
      <c r="AQ157" s="54"/>
      <c r="AR157">
        <v>157</v>
      </c>
      <c r="DE157" s="54"/>
    </row>
    <row r="158" spans="1:109" ht="30.75" customHeight="1">
      <c r="A158" s="158"/>
      <c r="B158" s="158"/>
      <c r="C158" s="158"/>
      <c r="D158" s="158"/>
      <c r="E158" s="159"/>
      <c r="F158" s="59" t="s">
        <v>96</v>
      </c>
      <c r="G158" s="74">
        <f aca="true" t="shared" si="197" ref="G158:N158">IF(G157=0,"",завтракл*G157/1000)</f>
      </c>
      <c r="H158" s="47">
        <f t="shared" si="197"/>
      </c>
      <c r="I158" s="43"/>
      <c r="J158" s="47">
        <f t="shared" si="197"/>
      </c>
      <c r="K158" s="43">
        <f t="shared" si="197"/>
      </c>
      <c r="L158" s="118">
        <f t="shared" si="197"/>
      </c>
      <c r="M158" s="72">
        <f t="shared" si="197"/>
      </c>
      <c r="N158" s="82">
        <f t="shared" si="197"/>
      </c>
      <c r="O158" s="48">
        <f aca="true" t="shared" si="198" ref="O158:V158">IF(O157=0,"",обідл*O157/1000)</f>
      </c>
      <c r="P158" s="43">
        <f t="shared" si="198"/>
      </c>
      <c r="Q158" s="47">
        <f t="shared" si="198"/>
      </c>
      <c r="R158" s="43">
        <f t="shared" si="198"/>
      </c>
      <c r="S158" s="47">
        <f t="shared" si="198"/>
      </c>
      <c r="T158" s="43">
        <f t="shared" si="198"/>
      </c>
      <c r="U158" s="47">
        <f t="shared" si="198"/>
      </c>
      <c r="V158" s="85">
        <f t="shared" si="198"/>
      </c>
      <c r="W158" s="48">
        <f>IF(W157=0,"",полдникл*W157/1000)</f>
      </c>
      <c r="X158" s="43"/>
      <c r="Y158" s="85">
        <f>IF(Y157=0,"",полдникл*Y157/1000)</f>
      </c>
      <c r="Z158" s="48">
        <f aca="true" t="shared" si="199" ref="Z158:AG158">IF(Z157=0,"",ужинл*Z157/1000)</f>
      </c>
      <c r="AA158" s="47">
        <f t="shared" si="199"/>
      </c>
      <c r="AB158" s="43">
        <f t="shared" si="199"/>
      </c>
      <c r="AC158" s="47">
        <f t="shared" si="199"/>
      </c>
      <c r="AD158" s="43">
        <f t="shared" si="199"/>
      </c>
      <c r="AE158" s="47">
        <f t="shared" si="199"/>
      </c>
      <c r="AF158" s="43">
        <f t="shared" si="199"/>
      </c>
      <c r="AG158" s="85">
        <f t="shared" si="199"/>
      </c>
      <c r="AH158" s="142"/>
      <c r="AI158" s="139"/>
      <c r="AJ158" s="140"/>
      <c r="AK158" s="143"/>
      <c r="AL158" s="143"/>
      <c r="AM158" s="132"/>
      <c r="AN158" s="130"/>
      <c r="AQ158" s="54"/>
      <c r="AR158">
        <v>158</v>
      </c>
      <c r="DE158" s="54"/>
    </row>
    <row r="159" spans="1:109" ht="30.75" customHeight="1">
      <c r="A159" s="163" t="s">
        <v>44</v>
      </c>
      <c r="B159" s="163"/>
      <c r="C159" s="163"/>
      <c r="D159" s="163"/>
      <c r="E159" s="164"/>
      <c r="F159" s="64" t="s">
        <v>95</v>
      </c>
      <c r="G159" s="71">
        <f>VLOOKUP(завтрак1,таб,59,FALSE)</f>
        <v>0</v>
      </c>
      <c r="H159" s="32">
        <f>VLOOKUP(завтрак2,таб,59,FALSE)</f>
        <v>0</v>
      </c>
      <c r="I159" s="33"/>
      <c r="J159" s="32">
        <f>VLOOKUP(завтрак4,таб,59,FALSE)</f>
        <v>0</v>
      </c>
      <c r="K159" s="33">
        <f>VLOOKUP(завтрак5,таб,59,FALSE)</f>
        <v>0</v>
      </c>
      <c r="L159" s="120">
        <f>VLOOKUP(завтрак6,таб,59,FALSE)</f>
        <v>0</v>
      </c>
      <c r="M159" s="71">
        <f>VLOOKUP(завтрак7,таб,59,FALSE)</f>
        <v>0</v>
      </c>
      <c r="N159" s="81">
        <f>VLOOKUP(завтрак8,таб,59,FALSE)</f>
        <v>0</v>
      </c>
      <c r="O159" s="34">
        <f>VLOOKUP(обед1,таб,59,FALSE)</f>
        <v>0</v>
      </c>
      <c r="P159" s="33">
        <f>VLOOKUP(обед2,таб,59,FALSE)</f>
        <v>0</v>
      </c>
      <c r="Q159" s="32">
        <f>VLOOKUP(обед3,таб,59,FALSE)</f>
        <v>0</v>
      </c>
      <c r="R159" s="33">
        <f>VLOOKUP(обед4,таб,59,FALSE)</f>
        <v>0</v>
      </c>
      <c r="S159" s="32">
        <f>VLOOKUP(обед5,таб,59,FALSE)</f>
        <v>0</v>
      </c>
      <c r="T159" s="33">
        <f>VLOOKUP(обед6,таб,59,FALSE)</f>
        <v>0</v>
      </c>
      <c r="U159" s="32">
        <f>VLOOKUP(обед7,таб,59,FALSE)</f>
        <v>0</v>
      </c>
      <c r="V159" s="87">
        <f>VLOOKUP(обед8,таб,59,FALSE)</f>
        <v>0</v>
      </c>
      <c r="W159" s="34">
        <f>VLOOKUP(полдник1,таб,59,FALSE)</f>
        <v>0</v>
      </c>
      <c r="X159" s="33"/>
      <c r="Y159" s="87">
        <f>VLOOKUP(полдник3,таб,59,FALSE)</f>
        <v>0</v>
      </c>
      <c r="Z159" s="34">
        <f>VLOOKUP(ужин1,таб,59,FALSE)</f>
        <v>0</v>
      </c>
      <c r="AA159" s="32">
        <f>VLOOKUP(ужин2,таб,59,FALSE)</f>
        <v>0</v>
      </c>
      <c r="AB159" s="33">
        <f>VLOOKUP(ужин3,таб,59,FALSE)</f>
        <v>0</v>
      </c>
      <c r="AC159" s="32">
        <f>VLOOKUP(ужин4,таб,59,FALSE)</f>
        <v>0</v>
      </c>
      <c r="AD159" s="33">
        <f>VLOOKUP(ужин5,таб,59,FALSE)</f>
        <v>0</v>
      </c>
      <c r="AE159" s="32">
        <f>VLOOKUP(ужин6,таб,59,FALSE)</f>
        <v>0</v>
      </c>
      <c r="AF159" s="33">
        <f>VLOOKUP(ужин7,таб,59,FALSE)</f>
        <v>0</v>
      </c>
      <c r="AG159" s="87">
        <f>VLOOKUP(ужин8,таб,59,FALSE)</f>
        <v>0</v>
      </c>
      <c r="AH159" s="141"/>
      <c r="AI159" s="139">
        <f>AK159/сред</f>
        <v>0</v>
      </c>
      <c r="AJ159" s="140"/>
      <c r="AK159" s="143">
        <f>SUM(G160:AG160)</f>
        <v>0</v>
      </c>
      <c r="AL159" s="143"/>
      <c r="AM159" s="131">
        <f>IF(AK159=0,0,Таблиця!BH267)</f>
        <v>0</v>
      </c>
      <c r="AN159" s="129">
        <f>AK159*AM159</f>
        <v>0</v>
      </c>
      <c r="AQ159" s="54"/>
      <c r="AR159">
        <v>159</v>
      </c>
      <c r="DE159" s="54"/>
    </row>
    <row r="160" spans="1:109" ht="30.75" customHeight="1">
      <c r="A160" s="163"/>
      <c r="B160" s="163"/>
      <c r="C160" s="163"/>
      <c r="D160" s="163"/>
      <c r="E160" s="164"/>
      <c r="F160" s="59" t="s">
        <v>96</v>
      </c>
      <c r="G160" s="72">
        <f aca="true" t="shared" si="200" ref="G160:N160">IF(G159=0,"",завтракл*G159/1000)</f>
      </c>
      <c r="H160" s="45">
        <f t="shared" si="200"/>
      </c>
      <c r="I160" s="44"/>
      <c r="J160" s="45">
        <f t="shared" si="200"/>
      </c>
      <c r="K160" s="44">
        <f t="shared" si="200"/>
      </c>
      <c r="L160" s="117">
        <f t="shared" si="200"/>
      </c>
      <c r="M160" s="72">
        <f t="shared" si="200"/>
      </c>
      <c r="N160" s="82">
        <f t="shared" si="200"/>
      </c>
      <c r="O160" s="46">
        <f aca="true" t="shared" si="201" ref="O160:V160">IF(O159=0,"",обідл*O159/1000)</f>
      </c>
      <c r="P160" s="44">
        <f t="shared" si="201"/>
      </c>
      <c r="Q160" s="45">
        <f t="shared" si="201"/>
      </c>
      <c r="R160" s="44">
        <f t="shared" si="201"/>
      </c>
      <c r="S160" s="45">
        <f t="shared" si="201"/>
      </c>
      <c r="T160" s="44">
        <f t="shared" si="201"/>
      </c>
      <c r="U160" s="45">
        <f t="shared" si="201"/>
      </c>
      <c r="V160" s="82">
        <f t="shared" si="201"/>
      </c>
      <c r="W160" s="46">
        <f>IF(W159=0,"",полдникл*W159/1000)</f>
      </c>
      <c r="X160" s="44"/>
      <c r="Y160" s="82">
        <f>IF(Y159=0,"",полдникл*Y159/1000)</f>
      </c>
      <c r="Z160" s="46">
        <f aca="true" t="shared" si="202" ref="Z160:AG160">IF(Z159=0,"",ужинл*Z159/1000)</f>
      </c>
      <c r="AA160" s="45">
        <f t="shared" si="202"/>
      </c>
      <c r="AB160" s="44">
        <f t="shared" si="202"/>
      </c>
      <c r="AC160" s="45">
        <f t="shared" si="202"/>
      </c>
      <c r="AD160" s="44">
        <f t="shared" si="202"/>
      </c>
      <c r="AE160" s="45">
        <f t="shared" si="202"/>
      </c>
      <c r="AF160" s="44">
        <f t="shared" si="202"/>
      </c>
      <c r="AG160" s="82">
        <f t="shared" si="202"/>
      </c>
      <c r="AH160" s="142"/>
      <c r="AI160" s="139"/>
      <c r="AJ160" s="140"/>
      <c r="AK160" s="143"/>
      <c r="AL160" s="143"/>
      <c r="AM160" s="132"/>
      <c r="AN160" s="130"/>
      <c r="AQ160" s="54"/>
      <c r="AR160">
        <v>160</v>
      </c>
      <c r="DE160" s="54"/>
    </row>
    <row r="161" spans="1:109" ht="30.75" customHeight="1">
      <c r="A161" s="156" t="s">
        <v>2</v>
      </c>
      <c r="B161" s="156"/>
      <c r="C161" s="156"/>
      <c r="D161" s="156"/>
      <c r="E161" s="157"/>
      <c r="F161" s="64" t="s">
        <v>95</v>
      </c>
      <c r="G161" s="73">
        <f>VLOOKUP(завтрак1,таб,60,FALSE)</f>
        <v>0</v>
      </c>
      <c r="H161" s="35">
        <f>VLOOKUP(завтрак2,таб,60,FALSE)</f>
        <v>0</v>
      </c>
      <c r="I161" s="36"/>
      <c r="J161" s="35">
        <f>VLOOKUP(завтрак4,таб,60,FALSE)</f>
        <v>0</v>
      </c>
      <c r="K161" s="36">
        <f>VLOOKUP(завтрак5,таб,60,FALSE)</f>
        <v>0</v>
      </c>
      <c r="L161" s="121">
        <f>VLOOKUP(завтрак6,таб,60,FALSE)</f>
        <v>0</v>
      </c>
      <c r="M161" s="71">
        <f>VLOOKUP(завтрак7,таб,60,FALSE)</f>
        <v>0</v>
      </c>
      <c r="N161" s="81">
        <f>VLOOKUP(завтрак8,таб,60,FALSE)</f>
        <v>0</v>
      </c>
      <c r="O161" s="37">
        <f>VLOOKUP(обед1,таб,60,FALSE)</f>
        <v>0</v>
      </c>
      <c r="P161" s="36">
        <f>VLOOKUP(обед2,таб,60,FALSE)</f>
        <v>0</v>
      </c>
      <c r="Q161" s="35">
        <f>VLOOKUP(обед3,таб,60,FALSE)</f>
        <v>0</v>
      </c>
      <c r="R161" s="36">
        <f>VLOOKUP(обед4,таб,60,FALSE)</f>
        <v>0</v>
      </c>
      <c r="S161" s="35">
        <f>VLOOKUP(обед5,таб,60,FALSE)</f>
        <v>0</v>
      </c>
      <c r="T161" s="36">
        <f>VLOOKUP(обед6,таб,60,FALSE)</f>
        <v>0</v>
      </c>
      <c r="U161" s="35">
        <f>VLOOKUP(обед7,таб,60,FALSE)</f>
        <v>0</v>
      </c>
      <c r="V161" s="88">
        <f>VLOOKUP(обед8,таб,60,FALSE)</f>
        <v>0</v>
      </c>
      <c r="W161" s="37">
        <f>VLOOKUP(полдник1,таб,60,FALSE)</f>
        <v>0</v>
      </c>
      <c r="X161" s="36"/>
      <c r="Y161" s="88">
        <f>VLOOKUP(полдник3,таб,60,FALSE)</f>
        <v>0</v>
      </c>
      <c r="Z161" s="37">
        <f>VLOOKUP(ужин1,таб,60,FALSE)</f>
        <v>0</v>
      </c>
      <c r="AA161" s="35">
        <f>VLOOKUP(ужин2,таб,60,FALSE)</f>
        <v>0</v>
      </c>
      <c r="AB161" s="36">
        <f>VLOOKUP(ужин3,таб,60,FALSE)</f>
        <v>0</v>
      </c>
      <c r="AC161" s="35">
        <f>VLOOKUP(ужин4,таб,60,FALSE)</f>
        <v>0</v>
      </c>
      <c r="AD161" s="36">
        <f>VLOOKUP(ужин5,таб,60,FALSE)</f>
        <v>0</v>
      </c>
      <c r="AE161" s="35">
        <f>VLOOKUP(ужин6,таб,60,FALSE)</f>
        <v>0</v>
      </c>
      <c r="AF161" s="36">
        <f>VLOOKUP(ужин7,таб,60,FALSE)</f>
        <v>0</v>
      </c>
      <c r="AG161" s="88">
        <f>VLOOKUP(ужин8,таб,60,FALSE)</f>
        <v>0</v>
      </c>
      <c r="AH161" s="141">
        <v>616022</v>
      </c>
      <c r="AI161" s="139">
        <f>AK161/сред</f>
        <v>0</v>
      </c>
      <c r="AJ161" s="140"/>
      <c r="AK161" s="143">
        <f>SUM(G162:AG162)</f>
        <v>0</v>
      </c>
      <c r="AL161" s="143"/>
      <c r="AM161" s="131">
        <f>IF(AK161=0,0,Таблиця!BI267)</f>
        <v>0</v>
      </c>
      <c r="AN161" s="129">
        <f>AK161*AM161</f>
        <v>0</v>
      </c>
      <c r="AQ161" s="54"/>
      <c r="AR161">
        <v>161</v>
      </c>
      <c r="DE161" s="54"/>
    </row>
    <row r="162" spans="1:109" ht="30.75" customHeight="1">
      <c r="A162" s="158"/>
      <c r="B162" s="158"/>
      <c r="C162" s="158"/>
      <c r="D162" s="158"/>
      <c r="E162" s="159"/>
      <c r="F162" s="59" t="s">
        <v>96</v>
      </c>
      <c r="G162" s="74">
        <f aca="true" t="shared" si="203" ref="G162:N162">IF(G161=0,"",завтракл*G161/1000)</f>
      </c>
      <c r="H162" s="47">
        <f t="shared" si="203"/>
      </c>
      <c r="I162" s="43"/>
      <c r="J162" s="47">
        <f t="shared" si="203"/>
      </c>
      <c r="K162" s="43">
        <f t="shared" si="203"/>
      </c>
      <c r="L162" s="118">
        <f t="shared" si="203"/>
      </c>
      <c r="M162" s="72">
        <f t="shared" si="203"/>
      </c>
      <c r="N162" s="82">
        <f t="shared" si="203"/>
      </c>
      <c r="O162" s="48">
        <f aca="true" t="shared" si="204" ref="O162:V162">IF(O161=0,"",обідл*O161/1000)</f>
      </c>
      <c r="P162" s="43">
        <f t="shared" si="204"/>
      </c>
      <c r="Q162" s="47">
        <f t="shared" si="204"/>
      </c>
      <c r="R162" s="43">
        <f t="shared" si="204"/>
      </c>
      <c r="S162" s="47">
        <f t="shared" si="204"/>
      </c>
      <c r="T162" s="43">
        <f t="shared" si="204"/>
      </c>
      <c r="U162" s="47">
        <f t="shared" si="204"/>
      </c>
      <c r="V162" s="85">
        <f t="shared" si="204"/>
      </c>
      <c r="W162" s="48">
        <f>IF(W161=0,"",полдникл*W161/1000)</f>
      </c>
      <c r="X162" s="43"/>
      <c r="Y162" s="85">
        <f>IF(Y161=0,"",полдникл*Y161/1000)</f>
      </c>
      <c r="Z162" s="48">
        <f aca="true" t="shared" si="205" ref="Z162:AG162">IF(Z161=0,"",ужинл*Z161/1000)</f>
      </c>
      <c r="AA162" s="47">
        <f t="shared" si="205"/>
      </c>
      <c r="AB162" s="43">
        <f t="shared" si="205"/>
      </c>
      <c r="AC162" s="47">
        <f t="shared" si="205"/>
      </c>
      <c r="AD162" s="43">
        <f t="shared" si="205"/>
      </c>
      <c r="AE162" s="47">
        <f t="shared" si="205"/>
      </c>
      <c r="AF162" s="43">
        <f t="shared" si="205"/>
      </c>
      <c r="AG162" s="85">
        <f t="shared" si="205"/>
      </c>
      <c r="AH162" s="142"/>
      <c r="AI162" s="139"/>
      <c r="AJ162" s="140"/>
      <c r="AK162" s="143"/>
      <c r="AL162" s="143"/>
      <c r="AM162" s="132"/>
      <c r="AN162" s="130"/>
      <c r="AQ162" s="54"/>
      <c r="AR162">
        <v>162</v>
      </c>
      <c r="DE162" s="54"/>
    </row>
    <row r="163" spans="1:109" ht="30.75" customHeight="1">
      <c r="A163" s="163" t="s">
        <v>46</v>
      </c>
      <c r="B163" s="163"/>
      <c r="C163" s="163"/>
      <c r="D163" s="163"/>
      <c r="E163" s="164"/>
      <c r="F163" s="64" t="s">
        <v>95</v>
      </c>
      <c r="G163" s="71">
        <f>VLOOKUP(завтрак1,таб,61,FALSE)</f>
        <v>0</v>
      </c>
      <c r="H163" s="32">
        <f>VLOOKUP(завтрак2,таб,61,FALSE)</f>
        <v>0</v>
      </c>
      <c r="I163" s="33"/>
      <c r="J163" s="32">
        <f>VLOOKUP(завтрак4,таб,61,FALSE)</f>
        <v>0</v>
      </c>
      <c r="K163" s="33">
        <f>VLOOKUP(завтрак5,таб,61,FALSE)</f>
        <v>0</v>
      </c>
      <c r="L163" s="120">
        <f>VLOOKUP(завтрак6,таб,61,FALSE)</f>
        <v>0</v>
      </c>
      <c r="M163" s="71">
        <f>VLOOKUP(завтрак7,таб,61,FALSE)</f>
        <v>0</v>
      </c>
      <c r="N163" s="81">
        <f>VLOOKUP(завтрак8,таб,61,FALSE)</f>
        <v>0</v>
      </c>
      <c r="O163" s="34">
        <f>VLOOKUP(обед1,таб,61,FALSE)</f>
        <v>0</v>
      </c>
      <c r="P163" s="33">
        <f>VLOOKUP(обед2,таб,61,FALSE)</f>
        <v>0</v>
      </c>
      <c r="Q163" s="32">
        <f>VLOOKUP(обед3,таб,61,FALSE)</f>
        <v>0</v>
      </c>
      <c r="R163" s="33">
        <f>VLOOKUP(обед4,таб,61,FALSE)</f>
        <v>0</v>
      </c>
      <c r="S163" s="32">
        <f>VLOOKUP(обед5,таб,61,FALSE)</f>
        <v>0</v>
      </c>
      <c r="T163" s="33">
        <f>VLOOKUP(обед6,таб,61,FALSE)</f>
        <v>0</v>
      </c>
      <c r="U163" s="32">
        <f>VLOOKUP(обед7,таб,61,FALSE)</f>
        <v>0</v>
      </c>
      <c r="V163" s="87">
        <f>VLOOKUP(обед8,таб,61,FALSE)</f>
        <v>0</v>
      </c>
      <c r="W163" s="34">
        <f>VLOOKUP(полдник1,таб,61,FALSE)</f>
        <v>0</v>
      </c>
      <c r="X163" s="33"/>
      <c r="Y163" s="87">
        <f>VLOOKUP(полдник3,таб,61,FALSE)</f>
        <v>0</v>
      </c>
      <c r="Z163" s="34">
        <f>VLOOKUP(ужин1,таб,61,FALSE)</f>
        <v>0</v>
      </c>
      <c r="AA163" s="32">
        <f>VLOOKUP(ужин2,таб,61,FALSE)</f>
        <v>0</v>
      </c>
      <c r="AB163" s="33">
        <f>VLOOKUP(ужин3,таб,61,FALSE)</f>
        <v>0</v>
      </c>
      <c r="AC163" s="32">
        <f>VLOOKUP(ужин4,таб,61,FALSE)</f>
        <v>0</v>
      </c>
      <c r="AD163" s="33">
        <f>VLOOKUP(ужин5,таб,61,FALSE)</f>
        <v>0</v>
      </c>
      <c r="AE163" s="32">
        <f>VLOOKUP(ужин6,таб,61,FALSE)</f>
        <v>0</v>
      </c>
      <c r="AF163" s="33">
        <f>VLOOKUP(ужин7,таб,61,FALSE)</f>
        <v>0</v>
      </c>
      <c r="AG163" s="87">
        <f>VLOOKUP(ужин8,таб,61,FALSE)</f>
        <v>0</v>
      </c>
      <c r="AH163" s="141"/>
      <c r="AI163" s="139">
        <f>AK163/сред</f>
        <v>0</v>
      </c>
      <c r="AJ163" s="140"/>
      <c r="AK163" s="143">
        <f>SUM(G164:AG164)</f>
        <v>0</v>
      </c>
      <c r="AL163" s="143"/>
      <c r="AM163" s="131">
        <f>IF(AK163=0,0,Таблиця!BJ267)</f>
        <v>0</v>
      </c>
      <c r="AN163" s="129">
        <f>AK163*AM163</f>
        <v>0</v>
      </c>
      <c r="AQ163" s="54"/>
      <c r="AR163">
        <v>163</v>
      </c>
      <c r="DE163" s="54"/>
    </row>
    <row r="164" spans="1:109" ht="30.75" customHeight="1">
      <c r="A164" s="163"/>
      <c r="B164" s="163"/>
      <c r="C164" s="163"/>
      <c r="D164" s="163"/>
      <c r="E164" s="164"/>
      <c r="F164" s="59" t="s">
        <v>96</v>
      </c>
      <c r="G164" s="72">
        <f aca="true" t="shared" si="206" ref="G164:N164">IF(G163=0,"",завтракл*G163/1000)</f>
      </c>
      <c r="H164" s="45">
        <f t="shared" si="206"/>
      </c>
      <c r="I164" s="44"/>
      <c r="J164" s="45">
        <f t="shared" si="206"/>
      </c>
      <c r="K164" s="44">
        <f t="shared" si="206"/>
      </c>
      <c r="L164" s="117">
        <f t="shared" si="206"/>
      </c>
      <c r="M164" s="72">
        <f t="shared" si="206"/>
      </c>
      <c r="N164" s="82">
        <f t="shared" si="206"/>
      </c>
      <c r="O164" s="46">
        <f aca="true" t="shared" si="207" ref="O164:V164">IF(O163=0,"",обідл*O163/1000)</f>
      </c>
      <c r="P164" s="44">
        <f t="shared" si="207"/>
      </c>
      <c r="Q164" s="45">
        <f t="shared" si="207"/>
      </c>
      <c r="R164" s="44">
        <f t="shared" si="207"/>
      </c>
      <c r="S164" s="45">
        <f t="shared" si="207"/>
      </c>
      <c r="T164" s="44">
        <f t="shared" si="207"/>
      </c>
      <c r="U164" s="45">
        <f t="shared" si="207"/>
      </c>
      <c r="V164" s="82">
        <f t="shared" si="207"/>
      </c>
      <c r="W164" s="46">
        <f>IF(W163=0,"",полдникл*W163/1000)</f>
      </c>
      <c r="X164" s="44"/>
      <c r="Y164" s="82">
        <f>IF(Y163=0,"",полдникл*Y163/1000)</f>
      </c>
      <c r="Z164" s="46">
        <f aca="true" t="shared" si="208" ref="Z164:AG164">IF(Z163=0,"",ужинл*Z163/1000)</f>
      </c>
      <c r="AA164" s="45">
        <f t="shared" si="208"/>
      </c>
      <c r="AB164" s="44">
        <f t="shared" si="208"/>
      </c>
      <c r="AC164" s="45">
        <f t="shared" si="208"/>
      </c>
      <c r="AD164" s="44">
        <f t="shared" si="208"/>
      </c>
      <c r="AE164" s="45">
        <f t="shared" si="208"/>
      </c>
      <c r="AF164" s="44">
        <f t="shared" si="208"/>
      </c>
      <c r="AG164" s="82">
        <f t="shared" si="208"/>
      </c>
      <c r="AH164" s="142"/>
      <c r="AI164" s="139"/>
      <c r="AJ164" s="140"/>
      <c r="AK164" s="143"/>
      <c r="AL164" s="143"/>
      <c r="AM164" s="132"/>
      <c r="AN164" s="130"/>
      <c r="AQ164" s="54"/>
      <c r="AR164">
        <v>164</v>
      </c>
      <c r="DE164" s="54"/>
    </row>
    <row r="165" spans="1:109" ht="30.75" customHeight="1">
      <c r="A165" s="156" t="s">
        <v>47</v>
      </c>
      <c r="B165" s="156"/>
      <c r="C165" s="156"/>
      <c r="D165" s="156"/>
      <c r="E165" s="157"/>
      <c r="F165" s="64" t="s">
        <v>95</v>
      </c>
      <c r="G165" s="73">
        <f>VLOOKUP(завтрак1,таб,62,FALSE)</f>
        <v>0</v>
      </c>
      <c r="H165" s="35">
        <f>VLOOKUP(завтрак2,таб,62,FALSE)</f>
        <v>0</v>
      </c>
      <c r="I165" s="36"/>
      <c r="J165" s="35">
        <f>VLOOKUP(завтрак4,таб,62,FALSE)</f>
        <v>0</v>
      </c>
      <c r="K165" s="36">
        <f>VLOOKUP(завтрак5,таб,62,FALSE)</f>
        <v>0</v>
      </c>
      <c r="L165" s="121">
        <f>VLOOKUP(завтрак6,таб,62,FALSE)</f>
        <v>0</v>
      </c>
      <c r="M165" s="71">
        <f>VLOOKUP(завтрак7,таб,62,FALSE)</f>
        <v>0</v>
      </c>
      <c r="N165" s="81">
        <f>VLOOKUP(завтрак8,таб,62,FALSE)</f>
        <v>0</v>
      </c>
      <c r="O165" s="37">
        <f>VLOOKUP(обед1,таб,62,FALSE)</f>
        <v>0</v>
      </c>
      <c r="P165" s="36">
        <f>VLOOKUP(обед2,таб,62,FALSE)</f>
        <v>0</v>
      </c>
      <c r="Q165" s="35">
        <f>VLOOKUP(обед3,таб,62,FALSE)</f>
        <v>0</v>
      </c>
      <c r="R165" s="36">
        <f>VLOOKUP(обед4,таб,62,FALSE)</f>
        <v>0</v>
      </c>
      <c r="S165" s="35">
        <f>VLOOKUP(обед5,таб,62,FALSE)</f>
        <v>0</v>
      </c>
      <c r="T165" s="36">
        <f>VLOOKUP(обед6,таб,62,FALSE)</f>
        <v>0</v>
      </c>
      <c r="U165" s="35">
        <f>VLOOKUP(обед7,таб,62,FALSE)</f>
        <v>0</v>
      </c>
      <c r="V165" s="88">
        <f>VLOOKUP(обед8,таб,62,FALSE)</f>
        <v>0</v>
      </c>
      <c r="W165" s="37">
        <f>VLOOKUP(полдник1,таб,62,FALSE)</f>
        <v>0</v>
      </c>
      <c r="X165" s="36"/>
      <c r="Y165" s="88">
        <f>VLOOKUP(полдник3,таб,62,FALSE)</f>
        <v>0</v>
      </c>
      <c r="Z165" s="37">
        <f>VLOOKUP(ужин1,таб,62,FALSE)</f>
        <v>0</v>
      </c>
      <c r="AA165" s="35">
        <f>VLOOKUP(ужин2,таб,62,FALSE)</f>
        <v>0</v>
      </c>
      <c r="AB165" s="35">
        <f>VLOOKUP(ужин3,таб,62,FALSE)</f>
        <v>0</v>
      </c>
      <c r="AC165" s="35">
        <f>VLOOKUP(ужин4,таб,62,FALSE)</f>
        <v>0</v>
      </c>
      <c r="AD165" s="36">
        <f>VLOOKUP(ужин5,таб,62,FALSE)</f>
        <v>0</v>
      </c>
      <c r="AE165" s="35">
        <f>VLOOKUP(ужин6,таб,62,FALSE)</f>
        <v>0</v>
      </c>
      <c r="AF165" s="36">
        <f>VLOOKUP(ужин7,таб,62,FALSE)</f>
        <v>0</v>
      </c>
      <c r="AG165" s="88">
        <f>VLOOKUP(ужин8,таб,62,FALSE)</f>
        <v>0</v>
      </c>
      <c r="AH165" s="141"/>
      <c r="AI165" s="139">
        <f>AK165/сред</f>
        <v>0</v>
      </c>
      <c r="AJ165" s="140"/>
      <c r="AK165" s="143">
        <f>SUM(G166:AG166)</f>
        <v>0</v>
      </c>
      <c r="AL165" s="143"/>
      <c r="AM165" s="131">
        <f>IF(AK165=0,0,Таблиця!BK267)</f>
        <v>0</v>
      </c>
      <c r="AN165" s="129">
        <f>AK165*AM165</f>
        <v>0</v>
      </c>
      <c r="AQ165" s="54"/>
      <c r="AR165">
        <v>165</v>
      </c>
      <c r="DE165" s="54"/>
    </row>
    <row r="166" spans="1:109" ht="30.75" customHeight="1">
      <c r="A166" s="158"/>
      <c r="B166" s="158"/>
      <c r="C166" s="158"/>
      <c r="D166" s="158"/>
      <c r="E166" s="159"/>
      <c r="F166" s="59" t="s">
        <v>96</v>
      </c>
      <c r="G166" s="74">
        <f aca="true" t="shared" si="209" ref="G166:N166">IF(G165=0,"",завтракл*G165/1000)</f>
      </c>
      <c r="H166" s="47">
        <f t="shared" si="209"/>
      </c>
      <c r="I166" s="43"/>
      <c r="J166" s="47">
        <f t="shared" si="209"/>
      </c>
      <c r="K166" s="43">
        <f t="shared" si="209"/>
      </c>
      <c r="L166" s="118">
        <f t="shared" si="209"/>
      </c>
      <c r="M166" s="72">
        <f t="shared" si="209"/>
      </c>
      <c r="N166" s="82">
        <f t="shared" si="209"/>
      </c>
      <c r="O166" s="48">
        <f aca="true" t="shared" si="210" ref="O166:V166">IF(O165=0,"",обідл*O165/1000)</f>
      </c>
      <c r="P166" s="43">
        <f t="shared" si="210"/>
      </c>
      <c r="Q166" s="47">
        <f t="shared" si="210"/>
      </c>
      <c r="R166" s="43">
        <f t="shared" si="210"/>
      </c>
      <c r="S166" s="47">
        <f t="shared" si="210"/>
      </c>
      <c r="T166" s="43">
        <f t="shared" si="210"/>
      </c>
      <c r="U166" s="47">
        <f t="shared" si="210"/>
      </c>
      <c r="V166" s="85">
        <f t="shared" si="210"/>
      </c>
      <c r="W166" s="48">
        <f>IF(W165=0,"",полдникл*W165/1000)</f>
      </c>
      <c r="X166" s="43"/>
      <c r="Y166" s="85">
        <f>IF(Y165=0,"",полдникл*Y165/1000)</f>
      </c>
      <c r="Z166" s="48">
        <f aca="true" t="shared" si="211" ref="Z166:AG166">IF(Z165=0,"",ужинл*Z165/1000)</f>
      </c>
      <c r="AA166" s="47">
        <f t="shared" si="211"/>
      </c>
      <c r="AB166" s="47">
        <f t="shared" si="211"/>
      </c>
      <c r="AC166" s="47">
        <f t="shared" si="211"/>
      </c>
      <c r="AD166" s="43">
        <f t="shared" si="211"/>
      </c>
      <c r="AE166" s="47">
        <f t="shared" si="211"/>
      </c>
      <c r="AF166" s="43">
        <f t="shared" si="211"/>
      </c>
      <c r="AG166" s="85">
        <f t="shared" si="211"/>
      </c>
      <c r="AH166" s="142"/>
      <c r="AI166" s="139"/>
      <c r="AJ166" s="140"/>
      <c r="AK166" s="143"/>
      <c r="AL166" s="143"/>
      <c r="AM166" s="132"/>
      <c r="AN166" s="130"/>
      <c r="AQ166" s="54"/>
      <c r="AR166">
        <v>166</v>
      </c>
      <c r="DE166" s="54"/>
    </row>
    <row r="167" spans="1:109" ht="30.75" customHeight="1">
      <c r="A167" s="163" t="s">
        <v>48</v>
      </c>
      <c r="B167" s="163"/>
      <c r="C167" s="163"/>
      <c r="D167" s="163"/>
      <c r="E167" s="164"/>
      <c r="F167" s="64" t="s">
        <v>95</v>
      </c>
      <c r="G167" s="71">
        <f>VLOOKUP(завтрак1,таб,63,FALSE)</f>
        <v>0</v>
      </c>
      <c r="H167" s="32">
        <f>VLOOKUP(завтрак2,таб,63,FALSE)</f>
        <v>0</v>
      </c>
      <c r="I167" s="33"/>
      <c r="J167" s="32">
        <f>VLOOKUP(завтрак4,таб,63,FALSE)</f>
        <v>0</v>
      </c>
      <c r="K167" s="33">
        <f>VLOOKUP(завтрак5,таб,63,FALSE)</f>
        <v>0</v>
      </c>
      <c r="L167" s="120">
        <f>VLOOKUP(завтрак6,таб,63,FALSE)</f>
        <v>0</v>
      </c>
      <c r="M167" s="71">
        <f>VLOOKUP(завтрак7,таб,63,FALSE)</f>
        <v>0</v>
      </c>
      <c r="N167" s="81">
        <f>VLOOKUP(завтрак8,таб,63,FALSE)</f>
        <v>0</v>
      </c>
      <c r="O167" s="34">
        <f>VLOOKUP(обед1,таб,63,FALSE)</f>
        <v>0</v>
      </c>
      <c r="P167" s="33">
        <f>VLOOKUP(обед2,таб,63,FALSE)</f>
        <v>0</v>
      </c>
      <c r="Q167" s="32">
        <f>VLOOKUP(обед3,таб,63,FALSE)</f>
        <v>0</v>
      </c>
      <c r="R167" s="33">
        <f>VLOOKUP(обед4,таб,63,FALSE)</f>
        <v>0</v>
      </c>
      <c r="S167" s="32">
        <f>VLOOKUP(обед5,таб,63,FALSE)</f>
        <v>0</v>
      </c>
      <c r="T167" s="33">
        <f>VLOOKUP(обед6,таб,63,FALSE)</f>
        <v>0</v>
      </c>
      <c r="U167" s="32">
        <f>VLOOKUP(обед7,таб,63,FALSE)</f>
        <v>0</v>
      </c>
      <c r="V167" s="87">
        <f>VLOOKUP(обед8,таб,63,FALSE)</f>
        <v>0</v>
      </c>
      <c r="W167" s="34">
        <f>VLOOKUP(полдник1,таб,63,FALSE)</f>
        <v>0</v>
      </c>
      <c r="X167" s="33"/>
      <c r="Y167" s="87">
        <f>VLOOKUP(полдник3,таб,63,FALSE)</f>
        <v>0</v>
      </c>
      <c r="Z167" s="34">
        <f>VLOOKUP(ужин1,таб,63,FALSE)</f>
        <v>0</v>
      </c>
      <c r="AA167" s="32">
        <f>VLOOKUP(ужин2,таб,63,FALSE)</f>
        <v>0</v>
      </c>
      <c r="AB167" s="33">
        <f>VLOOKUP(ужин3,таб,63,FALSE)</f>
        <v>0</v>
      </c>
      <c r="AC167" s="32">
        <f>VLOOKUP(ужин4,таб,63,FALSE)</f>
        <v>0</v>
      </c>
      <c r="AD167" s="33">
        <f>VLOOKUP(ужин5,таб,63,FALSE)</f>
        <v>0</v>
      </c>
      <c r="AE167" s="32">
        <f>VLOOKUP(ужин6,таб,63,FALSE)</f>
        <v>0</v>
      </c>
      <c r="AF167" s="33">
        <f>VLOOKUP(ужин7,таб,63,FALSE)</f>
        <v>0</v>
      </c>
      <c r="AG167" s="87">
        <f>VLOOKUP(ужин8,таб,63,FALSE)</f>
        <v>0</v>
      </c>
      <c r="AH167" s="141"/>
      <c r="AI167" s="139">
        <f>AK167/сред</f>
        <v>0</v>
      </c>
      <c r="AJ167" s="140"/>
      <c r="AK167" s="143">
        <f>SUM(G168:AG168)</f>
        <v>0</v>
      </c>
      <c r="AL167" s="143"/>
      <c r="AM167" s="131">
        <f>IF(AK167=0,0,Таблиця!BL267)</f>
        <v>0</v>
      </c>
      <c r="AN167" s="129">
        <f>AK167*AM167</f>
        <v>0</v>
      </c>
      <c r="AQ167" s="54"/>
      <c r="AR167">
        <v>167</v>
      </c>
      <c r="DE167" s="54"/>
    </row>
    <row r="168" spans="1:109" ht="30.75" customHeight="1">
      <c r="A168" s="163"/>
      <c r="B168" s="163"/>
      <c r="C168" s="163"/>
      <c r="D168" s="163"/>
      <c r="E168" s="164"/>
      <c r="F168" s="59" t="s">
        <v>96</v>
      </c>
      <c r="G168" s="76">
        <f aca="true" t="shared" si="212" ref="G168:N168">IF(G167=0,"",завтракл*G167/1000)</f>
      </c>
      <c r="H168" s="50">
        <f t="shared" si="212"/>
      </c>
      <c r="I168" s="49"/>
      <c r="J168" s="50">
        <f t="shared" si="212"/>
      </c>
      <c r="K168" s="49">
        <f t="shared" si="212"/>
      </c>
      <c r="L168" s="123">
        <f t="shared" si="212"/>
      </c>
      <c r="M168" s="76">
        <f t="shared" si="212"/>
      </c>
      <c r="N168" s="84">
        <f t="shared" si="212"/>
      </c>
      <c r="O168" s="51">
        <f aca="true" t="shared" si="213" ref="O168:V168">IF(O167=0,"",обідл*O167/1000)</f>
      </c>
      <c r="P168" s="49">
        <f t="shared" si="213"/>
      </c>
      <c r="Q168" s="50">
        <f t="shared" si="213"/>
      </c>
      <c r="R168" s="49">
        <f t="shared" si="213"/>
      </c>
      <c r="S168" s="50">
        <f t="shared" si="213"/>
      </c>
      <c r="T168" s="49">
        <f t="shared" si="213"/>
      </c>
      <c r="U168" s="50">
        <f t="shared" si="213"/>
      </c>
      <c r="V168" s="84">
        <f t="shared" si="213"/>
      </c>
      <c r="W168" s="51">
        <f>IF(W167=0,"",полдникл*W167/1000)</f>
      </c>
      <c r="X168" s="49"/>
      <c r="Y168" s="84">
        <f>IF(Y167=0,"",полдникл*Y167/1000)</f>
      </c>
      <c r="Z168" s="51">
        <f aca="true" t="shared" si="214" ref="Z168:AG168">IF(Z167=0,"",ужинл*Z167/1000)</f>
      </c>
      <c r="AA168" s="50">
        <f t="shared" si="214"/>
      </c>
      <c r="AB168" s="49">
        <f t="shared" si="214"/>
      </c>
      <c r="AC168" s="50">
        <f t="shared" si="214"/>
      </c>
      <c r="AD168" s="49">
        <f t="shared" si="214"/>
      </c>
      <c r="AE168" s="50">
        <f t="shared" si="214"/>
      </c>
      <c r="AF168" s="49">
        <f t="shared" si="214"/>
      </c>
      <c r="AG168" s="84">
        <f t="shared" si="214"/>
      </c>
      <c r="AH168" s="142"/>
      <c r="AI168" s="139"/>
      <c r="AJ168" s="140"/>
      <c r="AK168" s="143"/>
      <c r="AL168" s="143"/>
      <c r="AM168" s="132"/>
      <c r="AN168" s="130"/>
      <c r="AQ168" s="54"/>
      <c r="AR168">
        <v>168</v>
      </c>
      <c r="DE168" s="54"/>
    </row>
    <row r="169" spans="1:109" ht="30.75" customHeight="1">
      <c r="A169" s="163" t="s">
        <v>49</v>
      </c>
      <c r="B169" s="163"/>
      <c r="C169" s="163"/>
      <c r="D169" s="163"/>
      <c r="E169" s="164"/>
      <c r="F169" s="64" t="s">
        <v>95</v>
      </c>
      <c r="G169" s="71">
        <f>VLOOKUP(завтрак1,таб,64,FALSE)</f>
        <v>0</v>
      </c>
      <c r="H169" s="32">
        <f>VLOOKUP(завтрак2,таб,64,FALSE)</f>
        <v>0</v>
      </c>
      <c r="I169" s="33"/>
      <c r="J169" s="32">
        <f>VLOOKUP(завтрак4,таб,64,FALSE)</f>
        <v>0</v>
      </c>
      <c r="K169" s="33">
        <f>VLOOKUP(завтрак5,таб,64,FALSE)</f>
        <v>0</v>
      </c>
      <c r="L169" s="120">
        <f>VLOOKUP(завтрак6,таб,64,FALSE)</f>
        <v>0</v>
      </c>
      <c r="M169" s="71">
        <f>VLOOKUP(завтрак7,таб,64,FALSE)</f>
        <v>0</v>
      </c>
      <c r="N169" s="81">
        <f>VLOOKUP(завтрак8,таб,64,FALSE)</f>
        <v>0</v>
      </c>
      <c r="O169" s="34">
        <f>VLOOKUP(обед1,таб,64,FALSE)</f>
        <v>0</v>
      </c>
      <c r="P169" s="33">
        <f>VLOOKUP(обед2,таб,64,FALSE)</f>
        <v>0</v>
      </c>
      <c r="Q169" s="32">
        <f>VLOOKUP(обед3,таб,64,FALSE)</f>
        <v>0</v>
      </c>
      <c r="R169" s="33">
        <f>VLOOKUP(обед4,таб,64,FALSE)</f>
        <v>0</v>
      </c>
      <c r="S169" s="32">
        <f>VLOOKUP(обед5,таб,64,FALSE)</f>
        <v>0</v>
      </c>
      <c r="T169" s="33">
        <f>VLOOKUP(обед6,таб,64,FALSE)</f>
        <v>0</v>
      </c>
      <c r="U169" s="32">
        <f>VLOOKUP(обед7,таб,64,FALSE)</f>
        <v>0</v>
      </c>
      <c r="V169" s="87">
        <f>VLOOKUP(обед8,таб,64,FALSE)</f>
        <v>0</v>
      </c>
      <c r="W169" s="34">
        <f>VLOOKUP(полдник1,таб,64,FALSE)</f>
        <v>0</v>
      </c>
      <c r="X169" s="33"/>
      <c r="Y169" s="87">
        <f>VLOOKUP(полдник3,таб,64,FALSE)</f>
        <v>0</v>
      </c>
      <c r="Z169" s="34">
        <f>VLOOKUP(ужин1,таб,64,FALSE)</f>
        <v>0</v>
      </c>
      <c r="AA169" s="32">
        <f>VLOOKUP(ужин2,таб,64,FALSE)</f>
        <v>0</v>
      </c>
      <c r="AB169" s="33">
        <f>VLOOKUP(ужин3,таб,64,FALSE)</f>
        <v>0</v>
      </c>
      <c r="AC169" s="32">
        <f>VLOOKUP(ужин4,таб,64,FALSE)</f>
        <v>0</v>
      </c>
      <c r="AD169" s="33">
        <f>VLOOKUP(ужин5,таб,64,FALSE)</f>
        <v>0</v>
      </c>
      <c r="AE169" s="32">
        <f>VLOOKUP(ужин6,таб,64,FALSE)</f>
        <v>0</v>
      </c>
      <c r="AF169" s="33">
        <f>VLOOKUP(ужин7,таб,64,FALSE)</f>
        <v>0</v>
      </c>
      <c r="AG169" s="87">
        <f>VLOOKUP(ужин8,таб,64,FALSE)</f>
        <v>0</v>
      </c>
      <c r="AH169" s="141"/>
      <c r="AI169" s="139">
        <f>AK169/сред</f>
        <v>0</v>
      </c>
      <c r="AJ169" s="140"/>
      <c r="AK169" s="143">
        <f>SUM(G170:AG170)</f>
        <v>0</v>
      </c>
      <c r="AL169" s="143"/>
      <c r="AM169" s="131">
        <f>IF(AK169=0,0,Таблиця!BM267)</f>
        <v>0</v>
      </c>
      <c r="AN169" s="129">
        <f>AK169*AM169</f>
        <v>0</v>
      </c>
      <c r="AQ169" s="54"/>
      <c r="AR169">
        <v>169</v>
      </c>
      <c r="DE169" s="54"/>
    </row>
    <row r="170" spans="1:109" ht="30.75" customHeight="1">
      <c r="A170" s="163"/>
      <c r="B170" s="163"/>
      <c r="C170" s="163"/>
      <c r="D170" s="163"/>
      <c r="E170" s="164"/>
      <c r="F170" s="59" t="s">
        <v>96</v>
      </c>
      <c r="G170" s="72">
        <f aca="true" t="shared" si="215" ref="G170:N170">IF(G169=0,"",завтракл*G169/1000)</f>
      </c>
      <c r="H170" s="45">
        <f t="shared" si="215"/>
      </c>
      <c r="I170" s="44"/>
      <c r="J170" s="45">
        <f t="shared" si="215"/>
      </c>
      <c r="K170" s="44">
        <f t="shared" si="215"/>
      </c>
      <c r="L170" s="117">
        <f t="shared" si="215"/>
      </c>
      <c r="M170" s="72">
        <f t="shared" si="215"/>
      </c>
      <c r="N170" s="82">
        <f t="shared" si="215"/>
      </c>
      <c r="O170" s="46">
        <f aca="true" t="shared" si="216" ref="O170:V170">IF(O169=0,"",обідл*O169/1000)</f>
      </c>
      <c r="P170" s="44">
        <f t="shared" si="216"/>
      </c>
      <c r="Q170" s="45">
        <f t="shared" si="216"/>
      </c>
      <c r="R170" s="44">
        <f t="shared" si="216"/>
      </c>
      <c r="S170" s="45">
        <f t="shared" si="216"/>
      </c>
      <c r="T170" s="44">
        <f t="shared" si="216"/>
      </c>
      <c r="U170" s="45">
        <f t="shared" si="216"/>
      </c>
      <c r="V170" s="82">
        <f t="shared" si="216"/>
      </c>
      <c r="W170" s="46">
        <f>IF(W169=0,"",полдникл*W169/1000)</f>
      </c>
      <c r="X170" s="44"/>
      <c r="Y170" s="82">
        <f>IF(Y169=0,"",полдникл*Y169/1000)</f>
      </c>
      <c r="Z170" s="46">
        <f aca="true" t="shared" si="217" ref="Z170:AG170">IF(Z169=0,"",ужинл*Z169/1000)</f>
      </c>
      <c r="AA170" s="45">
        <f t="shared" si="217"/>
      </c>
      <c r="AB170" s="44">
        <f t="shared" si="217"/>
      </c>
      <c r="AC170" s="45">
        <f t="shared" si="217"/>
      </c>
      <c r="AD170" s="44">
        <f t="shared" si="217"/>
      </c>
      <c r="AE170" s="45">
        <f t="shared" si="217"/>
      </c>
      <c r="AF170" s="44">
        <f t="shared" si="217"/>
      </c>
      <c r="AG170" s="82">
        <f t="shared" si="217"/>
      </c>
      <c r="AH170" s="142"/>
      <c r="AI170" s="139"/>
      <c r="AJ170" s="140"/>
      <c r="AK170" s="143"/>
      <c r="AL170" s="143"/>
      <c r="AM170" s="132"/>
      <c r="AN170" s="130"/>
      <c r="AQ170" s="54"/>
      <c r="AR170">
        <v>170</v>
      </c>
      <c r="DE170" s="54"/>
    </row>
    <row r="171" spans="1:109" ht="30.75" customHeight="1" hidden="1">
      <c r="A171" s="163" t="s">
        <v>50</v>
      </c>
      <c r="B171" s="163"/>
      <c r="C171" s="163"/>
      <c r="D171" s="163"/>
      <c r="E171" s="164"/>
      <c r="F171" s="64" t="s">
        <v>95</v>
      </c>
      <c r="G171" s="73">
        <f>VLOOKUP(завтрак1,таб,65,FALSE)</f>
        <v>0</v>
      </c>
      <c r="H171" s="35">
        <f>VLOOKUP(завтрак2,таб,65,FALSE)</f>
        <v>0</v>
      </c>
      <c r="I171" s="36"/>
      <c r="J171" s="35">
        <f>VLOOKUP(завтрак4,таб,65,FALSE)</f>
        <v>0</v>
      </c>
      <c r="K171" s="36">
        <f>VLOOKUP(завтрак5,таб,65,FALSE)</f>
        <v>0</v>
      </c>
      <c r="L171" s="121">
        <f>VLOOKUP(завтрак6,таб,65,FALSE)</f>
        <v>0</v>
      </c>
      <c r="M171" s="71">
        <f>VLOOKUP(завтрак7,таб,65,FALSE)</f>
        <v>0</v>
      </c>
      <c r="N171" s="81">
        <f>VLOOKUP(завтрак8,таб,65,FALSE)</f>
        <v>0</v>
      </c>
      <c r="O171" s="37">
        <f>VLOOKUP(обед1,таб,65,FALSE)</f>
        <v>0</v>
      </c>
      <c r="P171" s="36">
        <f>VLOOKUP(обед2,таб,65,FALSE)</f>
        <v>0</v>
      </c>
      <c r="Q171" s="35">
        <f>VLOOKUP(обед3,таб,65,FALSE)</f>
        <v>0</v>
      </c>
      <c r="R171" s="36">
        <f>VLOOKUP(обед4,таб,65,FALSE)</f>
        <v>0</v>
      </c>
      <c r="S171" s="35">
        <f>VLOOKUP(обед5,таб,65,FALSE)</f>
        <v>0</v>
      </c>
      <c r="T171" s="36">
        <f>VLOOKUP(обед6,таб,65,FALSE)</f>
        <v>0</v>
      </c>
      <c r="U171" s="35">
        <f>VLOOKUP(обед7,таб,65,FALSE)</f>
        <v>0</v>
      </c>
      <c r="V171" s="88">
        <f>VLOOKUP(обед8,таб,65,FALSE)</f>
        <v>0</v>
      </c>
      <c r="W171" s="37">
        <f>VLOOKUP(полдник1,таб,65,FALSE)</f>
        <v>0</v>
      </c>
      <c r="X171" s="36"/>
      <c r="Y171" s="88">
        <f>VLOOKUP(полдник3,таб,65,FALSE)</f>
        <v>0</v>
      </c>
      <c r="Z171" s="37">
        <f>VLOOKUP(ужин1,таб,65,FALSE)</f>
        <v>0</v>
      </c>
      <c r="AA171" s="35">
        <f>VLOOKUP(ужин2,таб,65,FALSE)</f>
        <v>0</v>
      </c>
      <c r="AB171" s="36">
        <f>VLOOKUP(ужин3,таб,65,FALSE)</f>
        <v>0</v>
      </c>
      <c r="AC171" s="35">
        <f>VLOOKUP(ужин4,таб,65,FALSE)</f>
        <v>0</v>
      </c>
      <c r="AD171" s="36">
        <f>VLOOKUP(ужин5,таб,65,FALSE)</f>
        <v>0</v>
      </c>
      <c r="AE171" s="35">
        <f>VLOOKUP(ужин6,таб,65,FALSE)</f>
        <v>0</v>
      </c>
      <c r="AF171" s="36">
        <f>VLOOKUP(ужин7,таб,65,FALSE)</f>
        <v>0</v>
      </c>
      <c r="AG171" s="88">
        <f>VLOOKUP(ужин8,таб,65,FALSE)</f>
        <v>0</v>
      </c>
      <c r="AH171" s="141"/>
      <c r="AI171" s="139">
        <f>AK171/сред</f>
        <v>0</v>
      </c>
      <c r="AJ171" s="140"/>
      <c r="AK171" s="143">
        <f>SUM(G172:AG172)</f>
        <v>0</v>
      </c>
      <c r="AL171" s="143"/>
      <c r="AM171" s="131">
        <f>IF(AK171=0,0,Таблиця!BN267)</f>
        <v>0</v>
      </c>
      <c r="AN171" s="129">
        <f>AK171*AM171</f>
        <v>0</v>
      </c>
      <c r="AQ171" s="54"/>
      <c r="AR171">
        <v>171</v>
      </c>
      <c r="DE171" s="54"/>
    </row>
    <row r="172" spans="1:109" ht="30.75" customHeight="1" hidden="1">
      <c r="A172" s="163"/>
      <c r="B172" s="163"/>
      <c r="C172" s="163"/>
      <c r="D172" s="163"/>
      <c r="E172" s="164"/>
      <c r="F172" s="59" t="s">
        <v>96</v>
      </c>
      <c r="G172" s="74">
        <f aca="true" t="shared" si="218" ref="G172:N172">IF(G171=0,"",завтракл*G171/1000)</f>
      </c>
      <c r="H172" s="47">
        <f t="shared" si="218"/>
      </c>
      <c r="I172" s="43"/>
      <c r="J172" s="47">
        <f t="shared" si="218"/>
      </c>
      <c r="K172" s="43">
        <f t="shared" si="218"/>
      </c>
      <c r="L172" s="118">
        <f t="shared" si="218"/>
      </c>
      <c r="M172" s="72">
        <f t="shared" si="218"/>
      </c>
      <c r="N172" s="82">
        <f t="shared" si="218"/>
      </c>
      <c r="O172" s="48">
        <f aca="true" t="shared" si="219" ref="O172:V172">IF(O171=0,"",обідл*O171/1000)</f>
      </c>
      <c r="P172" s="43">
        <f t="shared" si="219"/>
      </c>
      <c r="Q172" s="47">
        <f t="shared" si="219"/>
      </c>
      <c r="R172" s="43">
        <f t="shared" si="219"/>
      </c>
      <c r="S172" s="47">
        <f t="shared" si="219"/>
      </c>
      <c r="T172" s="43">
        <f t="shared" si="219"/>
      </c>
      <c r="U172" s="47">
        <f t="shared" si="219"/>
      </c>
      <c r="V172" s="85">
        <f t="shared" si="219"/>
      </c>
      <c r="W172" s="48">
        <f>IF(W171=0,"",полдникл*W171/1000)</f>
      </c>
      <c r="X172" s="43"/>
      <c r="Y172" s="85">
        <f>IF(Y171=0,"",полдникл*Y171/1000)</f>
      </c>
      <c r="Z172" s="48">
        <f aca="true" t="shared" si="220" ref="Z172:AG172">IF(Z171=0,"",ужинл*Z171/1000)</f>
      </c>
      <c r="AA172" s="47">
        <f t="shared" si="220"/>
      </c>
      <c r="AB172" s="43">
        <f t="shared" si="220"/>
      </c>
      <c r="AC172" s="47">
        <f t="shared" si="220"/>
      </c>
      <c r="AD172" s="43">
        <f t="shared" si="220"/>
      </c>
      <c r="AE172" s="47">
        <f t="shared" si="220"/>
      </c>
      <c r="AF172" s="43">
        <f t="shared" si="220"/>
      </c>
      <c r="AG172" s="85">
        <f t="shared" si="220"/>
      </c>
      <c r="AH172" s="142"/>
      <c r="AI172" s="139"/>
      <c r="AJ172" s="140"/>
      <c r="AK172" s="143"/>
      <c r="AL172" s="143"/>
      <c r="AM172" s="132"/>
      <c r="AN172" s="130"/>
      <c r="AQ172" s="54"/>
      <c r="AR172">
        <v>172</v>
      </c>
      <c r="DE172" s="54"/>
    </row>
    <row r="173" spans="1:109" ht="30.75" customHeight="1" hidden="1">
      <c r="A173" s="163" t="s">
        <v>442</v>
      </c>
      <c r="B173" s="163"/>
      <c r="C173" s="163"/>
      <c r="D173" s="163"/>
      <c r="E173" s="164"/>
      <c r="F173" s="64" t="s">
        <v>95</v>
      </c>
      <c r="G173" s="71">
        <f>VLOOKUP(завтрак1,таб,70,FALSE)</f>
        <v>0</v>
      </c>
      <c r="H173" s="32">
        <f>VLOOKUP(завтрак2,таб,70,FALSE)</f>
        <v>0</v>
      </c>
      <c r="I173" s="33"/>
      <c r="J173" s="32">
        <f>VLOOKUP(завтрак4,таб,70,FALSE)</f>
        <v>0</v>
      </c>
      <c r="K173" s="33">
        <f>VLOOKUP(завтрак5,таб,70,FALSE)</f>
        <v>0</v>
      </c>
      <c r="L173" s="120">
        <f>VLOOKUP(завтрак6,таб,70,FALSE)</f>
        <v>0</v>
      </c>
      <c r="M173" s="71">
        <f>VLOOKUP(завтрак7,таб,70,FALSE)</f>
        <v>0</v>
      </c>
      <c r="N173" s="81">
        <f>VLOOKUP(завтрак8,таб,70,FALSE)</f>
        <v>0</v>
      </c>
      <c r="O173" s="34">
        <f>VLOOKUP(обед1,таб,70,FALSE)</f>
        <v>0</v>
      </c>
      <c r="P173" s="33">
        <f>VLOOKUP(обед2,таб,70,FALSE)</f>
        <v>0</v>
      </c>
      <c r="Q173" s="32">
        <f>VLOOKUP(обед3,таб,70,FALSE)</f>
        <v>0</v>
      </c>
      <c r="R173" s="33">
        <f>VLOOKUP(обед4,таб,70,FALSE)</f>
        <v>0</v>
      </c>
      <c r="S173" s="32">
        <f>VLOOKUP(обед5,таб,70,FALSE)</f>
        <v>0</v>
      </c>
      <c r="T173" s="33">
        <f>VLOOKUP(обед6,таб,70,FALSE)</f>
        <v>0</v>
      </c>
      <c r="U173" s="32">
        <f>VLOOKUP(обед7,таб,70,FALSE)</f>
        <v>0</v>
      </c>
      <c r="V173" s="87">
        <f>VLOOKUP(обед8,таб,70,FALSE)</f>
        <v>0</v>
      </c>
      <c r="W173" s="34">
        <f>VLOOKUP(полдник1,таб,70,FALSE)</f>
        <v>0</v>
      </c>
      <c r="X173" s="33"/>
      <c r="Y173" s="87">
        <f>VLOOKUP(полдник3,таб,70,FALSE)</f>
        <v>0</v>
      </c>
      <c r="Z173" s="34">
        <f>VLOOKUP(ужин1,таб,70,FALSE)</f>
        <v>0</v>
      </c>
      <c r="AA173" s="32">
        <f>VLOOKUP(ужин2,таб,70,FALSE)</f>
        <v>0</v>
      </c>
      <c r="AB173" s="33">
        <f>VLOOKUP(ужин3,таб,70,FALSE)</f>
        <v>0</v>
      </c>
      <c r="AC173" s="32">
        <f>VLOOKUP(ужин4,таб,70,FALSE)</f>
        <v>0</v>
      </c>
      <c r="AD173" s="33">
        <f>VLOOKUP(ужин5,таб,70,FALSE)</f>
        <v>0</v>
      </c>
      <c r="AE173" s="32">
        <f>VLOOKUP(ужин6,таб,70,FALSE)</f>
        <v>0</v>
      </c>
      <c r="AF173" s="33">
        <f>VLOOKUP(ужин7,таб,70,FALSE)</f>
        <v>0</v>
      </c>
      <c r="AG173" s="87">
        <f>VLOOKUP(ужин8,таб,70,FALSE)</f>
        <v>0</v>
      </c>
      <c r="AH173" s="141"/>
      <c r="AI173" s="139">
        <f>AK173/сред</f>
        <v>0</v>
      </c>
      <c r="AJ173" s="140"/>
      <c r="AK173" s="143">
        <f>SUM(G174:AG174)</f>
        <v>0</v>
      </c>
      <c r="AL173" s="143"/>
      <c r="AM173" s="131">
        <f>IF(AK173=0,0,Таблиця!BS267)</f>
        <v>0</v>
      </c>
      <c r="AN173" s="129">
        <f>AK173*AM173</f>
        <v>0</v>
      </c>
      <c r="AQ173" s="54"/>
      <c r="AR173">
        <v>173</v>
      </c>
      <c r="DE173" s="54"/>
    </row>
    <row r="174" spans="1:109" ht="30.75" customHeight="1" hidden="1">
      <c r="A174" s="163"/>
      <c r="B174" s="163"/>
      <c r="C174" s="163"/>
      <c r="D174" s="163"/>
      <c r="E174" s="164"/>
      <c r="F174" s="59" t="s">
        <v>96</v>
      </c>
      <c r="G174" s="72">
        <f aca="true" t="shared" si="221" ref="G174:N174">IF(G173=0,"",завтракл*G173/1000)</f>
      </c>
      <c r="H174" s="45">
        <f t="shared" si="221"/>
      </c>
      <c r="I174" s="44"/>
      <c r="J174" s="45">
        <f t="shared" si="221"/>
      </c>
      <c r="K174" s="44">
        <f t="shared" si="221"/>
      </c>
      <c r="L174" s="117">
        <f t="shared" si="221"/>
      </c>
      <c r="M174" s="72">
        <f t="shared" si="221"/>
      </c>
      <c r="N174" s="82">
        <f t="shared" si="221"/>
      </c>
      <c r="O174" s="46">
        <f aca="true" t="shared" si="222" ref="O174:V174">IF(O173=0,"",обідл*O173/1000)</f>
      </c>
      <c r="P174" s="44">
        <f t="shared" si="222"/>
      </c>
      <c r="Q174" s="45">
        <f t="shared" si="222"/>
      </c>
      <c r="R174" s="44">
        <f t="shared" si="222"/>
      </c>
      <c r="S174" s="45">
        <f t="shared" si="222"/>
      </c>
      <c r="T174" s="44">
        <f t="shared" si="222"/>
      </c>
      <c r="U174" s="45">
        <f t="shared" si="222"/>
      </c>
      <c r="V174" s="82">
        <f t="shared" si="222"/>
      </c>
      <c r="W174" s="46">
        <f>IF(W173=0,"",полдникл*W173/1000)</f>
      </c>
      <c r="X174" s="44"/>
      <c r="Y174" s="82">
        <f>IF(Y173=0,"",полдникл*Y173/1000)</f>
      </c>
      <c r="Z174" s="46">
        <f aca="true" t="shared" si="223" ref="Z174:AG174">IF(Z173=0,"",ужинл*Z173/1000)</f>
      </c>
      <c r="AA174" s="45">
        <f t="shared" si="223"/>
      </c>
      <c r="AB174" s="44">
        <f t="shared" si="223"/>
      </c>
      <c r="AC174" s="45">
        <f t="shared" si="223"/>
      </c>
      <c r="AD174" s="44">
        <f t="shared" si="223"/>
      </c>
      <c r="AE174" s="45">
        <f t="shared" si="223"/>
      </c>
      <c r="AF174" s="44">
        <f t="shared" si="223"/>
      </c>
      <c r="AG174" s="82">
        <f t="shared" si="223"/>
      </c>
      <c r="AH174" s="142"/>
      <c r="AI174" s="139"/>
      <c r="AJ174" s="140"/>
      <c r="AK174" s="143"/>
      <c r="AL174" s="143"/>
      <c r="AM174" s="132"/>
      <c r="AN174" s="130"/>
      <c r="AQ174" s="54"/>
      <c r="AR174">
        <v>174</v>
      </c>
      <c r="DE174" s="54"/>
    </row>
    <row r="175" spans="1:109" ht="30.75" customHeight="1" hidden="1">
      <c r="A175" s="152" t="s">
        <v>66</v>
      </c>
      <c r="B175" s="152"/>
      <c r="C175" s="152"/>
      <c r="D175" s="152"/>
      <c r="E175" s="153"/>
      <c r="F175" s="64" t="s">
        <v>95</v>
      </c>
      <c r="G175" s="73">
        <f>VLOOKUP(завтрак1,таб,71,FALSE)</f>
        <v>0</v>
      </c>
      <c r="H175" s="35">
        <f>VLOOKUP(завтрак2,таб,71,FALSE)</f>
        <v>0</v>
      </c>
      <c r="I175" s="36"/>
      <c r="J175" s="35">
        <f>VLOOKUP(завтрак4,таб,71,FALSE)</f>
        <v>0</v>
      </c>
      <c r="K175" s="36">
        <f>VLOOKUP(завтрак5,таб,71,FALSE)</f>
        <v>0</v>
      </c>
      <c r="L175" s="121">
        <f>VLOOKUP(завтрак6,таб,71,FALSE)</f>
        <v>0</v>
      </c>
      <c r="M175" s="71">
        <f>VLOOKUP(завтрак7,таб,71,FALSE)</f>
        <v>0</v>
      </c>
      <c r="N175" s="81">
        <f>VLOOKUP(завтрак8,таб,71,FALSE)</f>
        <v>0</v>
      </c>
      <c r="O175" s="37">
        <f>VLOOKUP(обед1,таб,71,FALSE)</f>
        <v>0</v>
      </c>
      <c r="P175" s="36">
        <f>VLOOKUP(обед2,таб,71,FALSE)</f>
        <v>0</v>
      </c>
      <c r="Q175" s="35">
        <f>VLOOKUP(обед3,таб,71,FALSE)</f>
        <v>0</v>
      </c>
      <c r="R175" s="36">
        <f>VLOOKUP(обед4,таб,71,FALSE)</f>
        <v>0</v>
      </c>
      <c r="S175" s="35">
        <f>VLOOKUP(обед5,таб,71,FALSE)</f>
        <v>0</v>
      </c>
      <c r="T175" s="36">
        <f>VLOOKUP(обед6,таб,71,FALSE)</f>
        <v>0</v>
      </c>
      <c r="U175" s="35">
        <f>VLOOKUP(обед7,таб,71,FALSE)</f>
        <v>0</v>
      </c>
      <c r="V175" s="88">
        <f>VLOOKUP(обед8,таб,71,FALSE)</f>
        <v>0</v>
      </c>
      <c r="W175" s="37">
        <f>VLOOKUP(полдник1,таб,71,FALSE)</f>
        <v>0</v>
      </c>
      <c r="X175" s="36"/>
      <c r="Y175" s="88">
        <f>VLOOKUP(полдник3,таб,71,FALSE)</f>
        <v>0</v>
      </c>
      <c r="Z175" s="37">
        <f>VLOOKUP(ужин1,таб,71,FALSE)</f>
        <v>0</v>
      </c>
      <c r="AA175" s="35">
        <f>VLOOKUP(ужин2,таб,71,FALSE)</f>
        <v>0</v>
      </c>
      <c r="AB175" s="36">
        <f>VLOOKUP(ужин3,таб,71,FALSE)</f>
        <v>0</v>
      </c>
      <c r="AC175" s="35">
        <f>VLOOKUP(ужин4,таб,71,FALSE)</f>
        <v>0</v>
      </c>
      <c r="AD175" s="36">
        <f>VLOOKUP(ужин5,таб,71,FALSE)</f>
        <v>0</v>
      </c>
      <c r="AE175" s="35">
        <f>VLOOKUP(ужин6,таб,71,FALSE)</f>
        <v>0</v>
      </c>
      <c r="AF175" s="36">
        <f>VLOOKUP(ужин7,таб,71,FALSE)</f>
        <v>0</v>
      </c>
      <c r="AG175" s="88">
        <f>VLOOKUP(ужин8,таб,71,FALSE)</f>
        <v>0</v>
      </c>
      <c r="AH175" s="141"/>
      <c r="AI175" s="139">
        <f>AK175/сред</f>
        <v>0</v>
      </c>
      <c r="AJ175" s="140"/>
      <c r="AK175" s="143">
        <f>SUM(G176:AG176)</f>
        <v>0</v>
      </c>
      <c r="AL175" s="143"/>
      <c r="AM175" s="131">
        <f>IF(AK175=0,0,Таблиця!BT267)</f>
        <v>0</v>
      </c>
      <c r="AN175" s="129">
        <f>AK175*AM175</f>
        <v>0</v>
      </c>
      <c r="AQ175" s="54"/>
      <c r="AR175">
        <v>175</v>
      </c>
      <c r="DE175" s="54"/>
    </row>
    <row r="176" spans="1:109" ht="30.75" customHeight="1" hidden="1">
      <c r="A176" s="227"/>
      <c r="B176" s="227"/>
      <c r="C176" s="227"/>
      <c r="D176" s="227"/>
      <c r="E176" s="228"/>
      <c r="F176" s="59" t="s">
        <v>96</v>
      </c>
      <c r="G176" s="72">
        <f aca="true" t="shared" si="224" ref="G176:N176">IF(G175=0,"",завтракл*G175/1000)</f>
      </c>
      <c r="H176" s="45">
        <f t="shared" si="224"/>
      </c>
      <c r="I176" s="44"/>
      <c r="J176" s="45">
        <f t="shared" si="224"/>
      </c>
      <c r="K176" s="44">
        <f t="shared" si="224"/>
      </c>
      <c r="L176" s="117">
        <f t="shared" si="224"/>
      </c>
      <c r="M176" s="72">
        <f t="shared" si="224"/>
      </c>
      <c r="N176" s="82">
        <f t="shared" si="224"/>
      </c>
      <c r="O176" s="46">
        <f aca="true" t="shared" si="225" ref="O176:V176">IF(O175=0,"",обідл*O175/1000)</f>
      </c>
      <c r="P176" s="44">
        <f t="shared" si="225"/>
      </c>
      <c r="Q176" s="45">
        <f t="shared" si="225"/>
      </c>
      <c r="R176" s="44">
        <f t="shared" si="225"/>
      </c>
      <c r="S176" s="45">
        <f t="shared" si="225"/>
      </c>
      <c r="T176" s="44">
        <f t="shared" si="225"/>
      </c>
      <c r="U176" s="45">
        <f t="shared" si="225"/>
      </c>
      <c r="V176" s="82">
        <f t="shared" si="225"/>
      </c>
      <c r="W176" s="46">
        <f>IF(W175=0,"",полдникл*W175/1000)</f>
      </c>
      <c r="X176" s="44"/>
      <c r="Y176" s="82">
        <f>IF(Y175=0,"",полдникл*Y175/1000)</f>
      </c>
      <c r="Z176" s="46">
        <f aca="true" t="shared" si="226" ref="Z176:AG176">IF(Z175=0,"",ужинл*Z175/1000)</f>
      </c>
      <c r="AA176" s="45">
        <f t="shared" si="226"/>
      </c>
      <c r="AB176" s="44">
        <f t="shared" si="226"/>
      </c>
      <c r="AC176" s="45">
        <f t="shared" si="226"/>
      </c>
      <c r="AD176" s="44">
        <f t="shared" si="226"/>
      </c>
      <c r="AE176" s="45">
        <f t="shared" si="226"/>
      </c>
      <c r="AF176" s="44">
        <f t="shared" si="226"/>
      </c>
      <c r="AG176" s="82">
        <f t="shared" si="226"/>
      </c>
      <c r="AH176" s="142"/>
      <c r="AI176" s="139"/>
      <c r="AJ176" s="140"/>
      <c r="AK176" s="143"/>
      <c r="AL176" s="143"/>
      <c r="AM176" s="132"/>
      <c r="AN176" s="130"/>
      <c r="AQ176" s="54"/>
      <c r="AR176">
        <v>176</v>
      </c>
      <c r="DE176" s="54"/>
    </row>
    <row r="177" spans="1:109" ht="30.75" customHeight="1" hidden="1">
      <c r="A177" s="152" t="s">
        <v>122</v>
      </c>
      <c r="B177" s="152"/>
      <c r="C177" s="152"/>
      <c r="D177" s="152"/>
      <c r="E177" s="153"/>
      <c r="F177" s="64" t="s">
        <v>95</v>
      </c>
      <c r="G177" s="71">
        <f>VLOOKUP(завтрак1,таб,66,FALSE)</f>
        <v>0</v>
      </c>
      <c r="H177" s="32">
        <f>VLOOKUP(завтрак2,таб,66,FALSE)</f>
        <v>0</v>
      </c>
      <c r="I177" s="33"/>
      <c r="J177" s="32">
        <f>VLOOKUP(завтрак4,таб,66,FALSE)</f>
        <v>0</v>
      </c>
      <c r="K177" s="33">
        <f>VLOOKUP(завтрак5,таб,66,FALSE)</f>
        <v>0</v>
      </c>
      <c r="L177" s="120">
        <f>VLOOKUP(завтрак6,таб,66,FALSE)</f>
        <v>0</v>
      </c>
      <c r="M177" s="71">
        <f>VLOOKUP(завтрак7,таб,66,FALSE)</f>
        <v>0</v>
      </c>
      <c r="N177" s="81">
        <f>VLOOKUP(завтрак8,таб,66,FALSE)</f>
        <v>0</v>
      </c>
      <c r="O177" s="34">
        <f>VLOOKUP(обед1,таб,66,FALSE)</f>
        <v>0</v>
      </c>
      <c r="P177" s="33">
        <f>VLOOKUP(обед2,таб,66,FALSE)</f>
        <v>0</v>
      </c>
      <c r="Q177" s="32">
        <f>VLOOKUP(обед3,таб,66,FALSE)</f>
        <v>0</v>
      </c>
      <c r="R177" s="33">
        <f>VLOOKUP(обед4,таб,66,FALSE)</f>
        <v>0</v>
      </c>
      <c r="S177" s="32">
        <f>VLOOKUP(обед5,таб,66,FALSE)</f>
        <v>0</v>
      </c>
      <c r="T177" s="33">
        <f>VLOOKUP(обед6,таб,66,FALSE)</f>
        <v>0</v>
      </c>
      <c r="U177" s="32">
        <f>VLOOKUP(обед7,таб,66,FALSE)</f>
        <v>0</v>
      </c>
      <c r="V177" s="87">
        <f>VLOOKUP(обед8,таб,66,FALSE)</f>
        <v>0</v>
      </c>
      <c r="W177" s="34">
        <f>VLOOKUP(полдник1,таб,66,FALSE)</f>
        <v>0</v>
      </c>
      <c r="X177" s="33"/>
      <c r="Y177" s="87">
        <f>VLOOKUP(полдник3,таб,66,FALSE)</f>
        <v>0</v>
      </c>
      <c r="Z177" s="34">
        <f>VLOOKUP(ужин1,таб,66,FALSE)</f>
        <v>0</v>
      </c>
      <c r="AA177" s="32">
        <f>VLOOKUP(ужин2,таб,66,FALSE)</f>
        <v>0</v>
      </c>
      <c r="AB177" s="33">
        <f>VLOOKUP(ужин3,таб,66,FALSE)</f>
        <v>0</v>
      </c>
      <c r="AC177" s="32">
        <f>VLOOKUP(ужин4,таб,66,FALSE)</f>
        <v>0</v>
      </c>
      <c r="AD177" s="33">
        <f>VLOOKUP(ужин5,таб,66,FALSE)</f>
        <v>0</v>
      </c>
      <c r="AE177" s="32">
        <f>VLOOKUP(ужин6,таб,66,FALSE)</f>
        <v>0</v>
      </c>
      <c r="AF177" s="33">
        <f>VLOOKUP(ужин7,таб,66,FALSE)</f>
        <v>0</v>
      </c>
      <c r="AG177" s="87">
        <f>VLOOKUP(ужин8,таб,66,FALSE)</f>
        <v>0</v>
      </c>
      <c r="AH177" s="141"/>
      <c r="AI177" s="139">
        <f>AK177/сред</f>
        <v>0</v>
      </c>
      <c r="AJ177" s="140"/>
      <c r="AK177" s="143">
        <f>SUM(G178:AG178)</f>
        <v>0</v>
      </c>
      <c r="AL177" s="143"/>
      <c r="AM177" s="131">
        <f>IF(AK177=0,0,Таблиця!BT269)</f>
        <v>0</v>
      </c>
      <c r="AN177" s="129">
        <f>AK177*AM177</f>
        <v>0</v>
      </c>
      <c r="AQ177" s="54"/>
      <c r="AR177">
        <v>177</v>
      </c>
      <c r="DE177" s="54"/>
    </row>
    <row r="178" spans="1:109" ht="30.75" customHeight="1" hidden="1">
      <c r="A178" s="152"/>
      <c r="B178" s="152"/>
      <c r="C178" s="152"/>
      <c r="D178" s="152"/>
      <c r="E178" s="153"/>
      <c r="F178" s="59" t="s">
        <v>96</v>
      </c>
      <c r="G178" s="72">
        <f aca="true" t="shared" si="227" ref="G178:N178">IF(G177=0,"",завтракл*G177/1000)</f>
      </c>
      <c r="H178" s="45">
        <f t="shared" si="227"/>
      </c>
      <c r="I178" s="44"/>
      <c r="J178" s="45">
        <f t="shared" si="227"/>
      </c>
      <c r="K178" s="44">
        <f t="shared" si="227"/>
      </c>
      <c r="L178" s="117">
        <f t="shared" si="227"/>
      </c>
      <c r="M178" s="72">
        <f t="shared" si="227"/>
      </c>
      <c r="N178" s="82">
        <f t="shared" si="227"/>
      </c>
      <c r="O178" s="46">
        <f aca="true" t="shared" si="228" ref="O178:V178">IF(O177=0,"",обідл*O177/1000)</f>
      </c>
      <c r="P178" s="44">
        <f t="shared" si="228"/>
      </c>
      <c r="Q178" s="45">
        <f t="shared" si="228"/>
      </c>
      <c r="R178" s="44">
        <f t="shared" si="228"/>
      </c>
      <c r="S178" s="45">
        <f t="shared" si="228"/>
      </c>
      <c r="T178" s="44">
        <f t="shared" si="228"/>
      </c>
      <c r="U178" s="45">
        <f t="shared" si="228"/>
      </c>
      <c r="V178" s="82">
        <f t="shared" si="228"/>
      </c>
      <c r="W178" s="46">
        <f>IF(W177=0,"",полдникл*W177/1000)</f>
      </c>
      <c r="X178" s="44"/>
      <c r="Y178" s="82">
        <f>IF(Y177=0,"",полдникл*Y177/1000)</f>
      </c>
      <c r="Z178" s="46">
        <f aca="true" t="shared" si="229" ref="Z178:AG178">IF(Z177=0,"",ужинл*Z177/1000)</f>
      </c>
      <c r="AA178" s="45">
        <f t="shared" si="229"/>
      </c>
      <c r="AB178" s="44">
        <f t="shared" si="229"/>
      </c>
      <c r="AC178" s="45">
        <f t="shared" si="229"/>
      </c>
      <c r="AD178" s="44">
        <f t="shared" si="229"/>
      </c>
      <c r="AE178" s="45">
        <f t="shared" si="229"/>
      </c>
      <c r="AF178" s="44">
        <f t="shared" si="229"/>
      </c>
      <c r="AG178" s="82">
        <f t="shared" si="229"/>
      </c>
      <c r="AH178" s="142"/>
      <c r="AI178" s="139"/>
      <c r="AJ178" s="140"/>
      <c r="AK178" s="143"/>
      <c r="AL178" s="143"/>
      <c r="AM178" s="132"/>
      <c r="AN178" s="130"/>
      <c r="AQ178" s="54"/>
      <c r="AR178">
        <v>178</v>
      </c>
      <c r="DE178" s="54"/>
    </row>
    <row r="179" spans="1:109" ht="30.75" customHeight="1" hidden="1">
      <c r="A179" s="133" t="s">
        <v>111</v>
      </c>
      <c r="B179" s="134"/>
      <c r="C179" s="134"/>
      <c r="D179" s="134"/>
      <c r="E179" s="135"/>
      <c r="F179" s="66" t="s">
        <v>95</v>
      </c>
      <c r="G179" s="71">
        <f>VLOOKUP(завтрак1,таб,79,FALSE)</f>
        <v>0</v>
      </c>
      <c r="H179" s="26">
        <f>VLOOKUP(завтрак2,таб,79,FALSE)</f>
        <v>0</v>
      </c>
      <c r="I179" s="26"/>
      <c r="J179" s="26">
        <f>VLOOKUP(завтрак4,таб,79,FALSE)</f>
        <v>0</v>
      </c>
      <c r="K179" s="26">
        <f>VLOOKUP(завтрак5,таб,79,FALSE)</f>
        <v>0</v>
      </c>
      <c r="L179" s="116">
        <f>VLOOKUP(завтрак6,таб,79,FALSE)</f>
        <v>0</v>
      </c>
      <c r="M179" s="71">
        <f>VLOOKUP(завтрак7,таб,79,FALSE)</f>
        <v>0</v>
      </c>
      <c r="N179" s="81">
        <f>VLOOKUP(завтрак8,таб,79,FALSE)</f>
        <v>0</v>
      </c>
      <c r="O179" s="34">
        <f>VLOOKUP(обед1,таб,79,FALSE)</f>
        <v>0</v>
      </c>
      <c r="P179" s="33">
        <f>VLOOKUP(обед2,таб,79,FALSE)</f>
        <v>0</v>
      </c>
      <c r="Q179" s="33">
        <f>VLOOKUP(обед3,таб,79,FALSE)</f>
        <v>0</v>
      </c>
      <c r="R179" s="33">
        <f>VLOOKUP(обед4,таб,79,FALSE)</f>
        <v>0</v>
      </c>
      <c r="S179" s="33">
        <f>VLOOKUP(обед5,таб,79,FALSE)</f>
        <v>0</v>
      </c>
      <c r="T179" s="33">
        <f>VLOOKUP(обед6,таб,79,FALSE)</f>
        <v>0</v>
      </c>
      <c r="U179" s="33">
        <f>VLOOKUP(обед7,таб,79,FALSE)</f>
        <v>0</v>
      </c>
      <c r="V179" s="87">
        <f>VLOOKUP(обед8,таб,79,FALSE)</f>
        <v>0</v>
      </c>
      <c r="W179" s="34">
        <f>VLOOKUP(полдник1,таб,79,FALSE)</f>
        <v>0</v>
      </c>
      <c r="X179" s="33"/>
      <c r="Y179" s="87">
        <f>VLOOKUP(полдник3,таб,79,FALSE)</f>
        <v>0</v>
      </c>
      <c r="Z179" s="34">
        <f>VLOOKUP(ужин1,таб,79,FALSE)</f>
        <v>0</v>
      </c>
      <c r="AA179" s="33">
        <f>VLOOKUP(ужин2,таб,79,FALSE)</f>
        <v>0</v>
      </c>
      <c r="AB179" s="33">
        <f>VLOOKUP(ужин3,таб,79,FALSE)</f>
        <v>0</v>
      </c>
      <c r="AC179" s="33">
        <f>VLOOKUP(ужин4,таб,79,FALSE)</f>
        <v>0</v>
      </c>
      <c r="AD179" s="33">
        <f>VLOOKUP(ужин5,таб,79,FALSE)</f>
        <v>0</v>
      </c>
      <c r="AE179" s="33">
        <f>VLOOKUP(ужин6,таб,79,FALSE)</f>
        <v>0</v>
      </c>
      <c r="AF179" s="33">
        <f>VLOOKUP(ужин7,таб,79,FALSE)</f>
        <v>0</v>
      </c>
      <c r="AG179" s="87">
        <f>VLOOKUP(ужин8,таб,79,FALSE)</f>
        <v>0</v>
      </c>
      <c r="AH179" s="141"/>
      <c r="AI179" s="139">
        <f>AK179/сред</f>
        <v>0</v>
      </c>
      <c r="AJ179" s="140"/>
      <c r="AK179" s="143">
        <f>SUM(G180:AG180)</f>
        <v>0</v>
      </c>
      <c r="AL179" s="143"/>
      <c r="AM179" s="131">
        <f>IF(AK179=0,0,Таблиця!BT271)</f>
        <v>0</v>
      </c>
      <c r="AN179" s="129">
        <f>AK179*AM179</f>
        <v>0</v>
      </c>
      <c r="AQ179" s="54"/>
      <c r="AR179">
        <v>179</v>
      </c>
      <c r="DE179" s="54"/>
    </row>
    <row r="180" spans="1:109" ht="30.75" customHeight="1" hidden="1">
      <c r="A180" s="136"/>
      <c r="B180" s="137"/>
      <c r="C180" s="137"/>
      <c r="D180" s="137"/>
      <c r="E180" s="138"/>
      <c r="F180" s="67" t="s">
        <v>96</v>
      </c>
      <c r="G180" s="72">
        <f aca="true" t="shared" si="230" ref="G180:N180">IF(G179=0,"",завтракл*G179/1000)</f>
      </c>
      <c r="H180" s="43">
        <f t="shared" si="230"/>
      </c>
      <c r="I180" s="43"/>
      <c r="J180" s="43">
        <f t="shared" si="230"/>
      </c>
      <c r="K180" s="43">
        <f t="shared" si="230"/>
      </c>
      <c r="L180" s="118">
        <f t="shared" si="230"/>
      </c>
      <c r="M180" s="74">
        <f t="shared" si="230"/>
      </c>
      <c r="N180" s="82">
        <f t="shared" si="230"/>
      </c>
      <c r="O180" s="46">
        <f aca="true" t="shared" si="231" ref="O180:V180">IF(O179=0,"",обідл*O179/1000)</f>
      </c>
      <c r="P180" s="44">
        <f t="shared" si="231"/>
      </c>
      <c r="Q180" s="44">
        <f t="shared" si="231"/>
      </c>
      <c r="R180" s="44">
        <f t="shared" si="231"/>
      </c>
      <c r="S180" s="44">
        <f t="shared" si="231"/>
      </c>
      <c r="T180" s="44">
        <f t="shared" si="231"/>
      </c>
      <c r="U180" s="44">
        <f t="shared" si="231"/>
      </c>
      <c r="V180" s="82">
        <f t="shared" si="231"/>
      </c>
      <c r="W180" s="46">
        <f>IF(W179=0,"",полдникл*W179/1000)</f>
      </c>
      <c r="X180" s="44"/>
      <c r="Y180" s="82">
        <f>IF(Y179=0,"",полдникл*Y179/1000)</f>
      </c>
      <c r="Z180" s="46">
        <f aca="true" t="shared" si="232" ref="Z180:AG180">IF(Z179=0,"",ужинл*Z179/1000)</f>
      </c>
      <c r="AA180" s="44">
        <f t="shared" si="232"/>
      </c>
      <c r="AB180" s="44">
        <f t="shared" si="232"/>
      </c>
      <c r="AC180" s="44">
        <f t="shared" si="232"/>
      </c>
      <c r="AD180" s="44">
        <f t="shared" si="232"/>
      </c>
      <c r="AE180" s="44">
        <f t="shared" si="232"/>
      </c>
      <c r="AF180" s="44">
        <f t="shared" si="232"/>
      </c>
      <c r="AG180" s="82">
        <f t="shared" si="232"/>
      </c>
      <c r="AH180" s="142"/>
      <c r="AI180" s="139"/>
      <c r="AJ180" s="140"/>
      <c r="AK180" s="143"/>
      <c r="AL180" s="143"/>
      <c r="AM180" s="132"/>
      <c r="AN180" s="130"/>
      <c r="AQ180" s="54"/>
      <c r="AR180">
        <v>180</v>
      </c>
      <c r="DE180" s="97"/>
    </row>
    <row r="181" spans="1:109" ht="30.75" customHeight="1" hidden="1">
      <c r="A181" s="133" t="s">
        <v>427</v>
      </c>
      <c r="B181" s="134"/>
      <c r="C181" s="134"/>
      <c r="D181" s="134"/>
      <c r="E181" s="135"/>
      <c r="F181" s="106" t="s">
        <v>95</v>
      </c>
      <c r="G181" s="71">
        <f>VLOOKUP(завтрак1,таб,5,FALSE)</f>
        <v>0</v>
      </c>
      <c r="H181" s="26">
        <f>VLOOKUP(завтрак2,таб,5,FALSE)</f>
        <v>0</v>
      </c>
      <c r="I181" s="26"/>
      <c r="J181" s="26">
        <f>VLOOKUP(завтрак4,таб,5,FALSE)</f>
        <v>0</v>
      </c>
      <c r="K181" s="26">
        <f>VLOOKUP(завтрак5,таб,5,FALSE)</f>
        <v>0</v>
      </c>
      <c r="L181" s="116">
        <f>VLOOKUP(завтрак6,таб,5,FALSE)</f>
        <v>0</v>
      </c>
      <c r="M181" s="71">
        <f>VLOOKUP(завтрак7,таб,5,FALSE)</f>
        <v>0</v>
      </c>
      <c r="N181" s="81">
        <f>VLOOKUP(завтрак8,таб,5,FALSE)</f>
        <v>0</v>
      </c>
      <c r="O181" s="34">
        <f>VLOOKUP(обед1,таб,5,FALSE)</f>
        <v>0</v>
      </c>
      <c r="P181" s="33">
        <f>VLOOKUP(обед2,таб,5,FALSE)</f>
        <v>0</v>
      </c>
      <c r="Q181" s="33">
        <f>VLOOKUP(обед3,таб,5,FALSE)</f>
        <v>0</v>
      </c>
      <c r="R181" s="33">
        <f>VLOOKUP(обед4,таб,5,FALSE)</f>
        <v>0</v>
      </c>
      <c r="S181" s="33">
        <f>VLOOKUP(обед5,таб,5,FALSE)</f>
        <v>0</v>
      </c>
      <c r="T181" s="33">
        <f>VLOOKUP(обед6,таб,5,FALSE)</f>
        <v>0</v>
      </c>
      <c r="U181" s="33">
        <f>VLOOKUP(обед7,таб,5,FALSE)</f>
        <v>0</v>
      </c>
      <c r="V181" s="87">
        <f>VLOOKUP(обед8,таб,5,FALSE)</f>
        <v>0</v>
      </c>
      <c r="W181" s="34">
        <f>VLOOKUP(полдник1,таб,5,FALSE)</f>
        <v>0</v>
      </c>
      <c r="X181" s="33"/>
      <c r="Y181" s="87">
        <f>VLOOKUP(полдник3,таб,5,FALSE)</f>
        <v>0</v>
      </c>
      <c r="Z181" s="34">
        <f>VLOOKUP(ужин1,таб,5,FALSE)</f>
        <v>0</v>
      </c>
      <c r="AA181" s="33">
        <f>VLOOKUP(ужин2,таб,5,FALSE)</f>
        <v>0</v>
      </c>
      <c r="AB181" s="33">
        <f>VLOOKUP(ужин3,таб,5,FALSE)</f>
        <v>0</v>
      </c>
      <c r="AC181" s="33">
        <f>VLOOKUP(ужин4,таб,5,FALSE)</f>
        <v>0</v>
      </c>
      <c r="AD181" s="33">
        <f>VLOOKUP(ужин5,таб,5,FALSE)</f>
        <v>0</v>
      </c>
      <c r="AE181" s="33">
        <f>VLOOKUP(ужин6,таб,5,FALSE)</f>
        <v>0</v>
      </c>
      <c r="AF181" s="33">
        <f>VLOOKUP(ужин7,таб,5,FALSE)</f>
        <v>0</v>
      </c>
      <c r="AG181" s="87">
        <f>VLOOKUP(ужин8,таб,5,FALSE)</f>
        <v>0</v>
      </c>
      <c r="AH181" s="253"/>
      <c r="AI181" s="139">
        <f>AK181/сред</f>
        <v>0</v>
      </c>
      <c r="AJ181" s="140"/>
      <c r="AK181" s="143">
        <f>SUM(G182:AG182)</f>
        <v>0</v>
      </c>
      <c r="AL181" s="143"/>
      <c r="AM181" s="131">
        <f>IF(AK181=0,0,Таблиця!F267)</f>
        <v>0</v>
      </c>
      <c r="AN181" s="129">
        <f>AK181*AM181</f>
        <v>0</v>
      </c>
      <c r="AQ181" s="54"/>
      <c r="AR181">
        <v>181</v>
      </c>
      <c r="DE181" s="54"/>
    </row>
    <row r="182" spans="1:109" ht="30.75" customHeight="1" hidden="1">
      <c r="A182" s="136"/>
      <c r="B182" s="137"/>
      <c r="C182" s="137"/>
      <c r="D182" s="137"/>
      <c r="E182" s="138"/>
      <c r="F182" s="67" t="s">
        <v>96</v>
      </c>
      <c r="G182" s="75">
        <f aca="true" t="shared" si="233" ref="G182:AG182">IF(G181=0,"",завтракл*G181/1000)</f>
      </c>
      <c r="H182" s="23">
        <f t="shared" si="233"/>
      </c>
      <c r="I182" s="23"/>
      <c r="J182" s="23">
        <f t="shared" si="233"/>
      </c>
      <c r="K182" s="23">
        <f t="shared" si="233"/>
      </c>
      <c r="L182" s="122">
        <f t="shared" si="233"/>
      </c>
      <c r="M182" s="75">
        <f t="shared" si="233"/>
      </c>
      <c r="N182" s="83">
        <f t="shared" si="233"/>
      </c>
      <c r="O182" s="75">
        <f t="shared" si="233"/>
      </c>
      <c r="P182" s="23">
        <f t="shared" si="233"/>
      </c>
      <c r="Q182" s="23">
        <f t="shared" si="233"/>
      </c>
      <c r="R182" s="23">
        <f t="shared" si="233"/>
      </c>
      <c r="S182" s="23">
        <f t="shared" si="233"/>
      </c>
      <c r="T182" s="23">
        <f t="shared" si="233"/>
      </c>
      <c r="U182" s="23">
        <f t="shared" si="233"/>
      </c>
      <c r="V182" s="83">
        <f t="shared" si="233"/>
      </c>
      <c r="W182" s="25">
        <f t="shared" si="233"/>
      </c>
      <c r="X182" s="23"/>
      <c r="Y182" s="83">
        <f t="shared" si="233"/>
      </c>
      <c r="Z182" s="25">
        <f t="shared" si="233"/>
      </c>
      <c r="AA182" s="23">
        <f t="shared" si="233"/>
      </c>
      <c r="AB182" s="23">
        <f t="shared" si="233"/>
      </c>
      <c r="AC182" s="23">
        <f t="shared" si="233"/>
      </c>
      <c r="AD182" s="23">
        <f t="shared" si="233"/>
      </c>
      <c r="AE182" s="23">
        <f t="shared" si="233"/>
      </c>
      <c r="AF182" s="23">
        <f t="shared" si="233"/>
      </c>
      <c r="AG182" s="83">
        <f t="shared" si="233"/>
      </c>
      <c r="AH182" s="254"/>
      <c r="AI182" s="139"/>
      <c r="AJ182" s="140"/>
      <c r="AK182" s="143"/>
      <c r="AL182" s="143"/>
      <c r="AM182" s="132"/>
      <c r="AN182" s="130"/>
      <c r="AO182" s="16"/>
      <c r="AQ182" s="102"/>
      <c r="AR182">
        <v>182</v>
      </c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DE182" s="54"/>
    </row>
    <row r="183" spans="1:109" ht="30.75" customHeight="1">
      <c r="A183" s="133" t="s">
        <v>428</v>
      </c>
      <c r="B183" s="134"/>
      <c r="C183" s="134"/>
      <c r="D183" s="134"/>
      <c r="E183" s="135"/>
      <c r="F183" s="106" t="s">
        <v>95</v>
      </c>
      <c r="G183" s="71">
        <f>VLOOKUP(завтрак1,таб,6,FALSE)</f>
        <v>0</v>
      </c>
      <c r="H183" s="26">
        <f>VLOOKUP(завтрак2,таб,6,FALSE)</f>
        <v>0</v>
      </c>
      <c r="I183" s="26"/>
      <c r="J183" s="26">
        <f>VLOOKUP(завтрак4,таб,6,FALSE)</f>
        <v>0</v>
      </c>
      <c r="K183" s="26">
        <f>VLOOKUP(завтрак5,таб,6,FALSE)</f>
        <v>0</v>
      </c>
      <c r="L183" s="116">
        <f>VLOOKUP(завтрак6,таб,6,FALSE)</f>
        <v>0</v>
      </c>
      <c r="M183" s="71">
        <f>VLOOKUP(завтрак7,таб,6,FALSE)</f>
        <v>0</v>
      </c>
      <c r="N183" s="81">
        <f>VLOOKUP(завтрак8,таб,6,FALSE)</f>
        <v>0</v>
      </c>
      <c r="O183" s="34">
        <f>VLOOKUP(обед1,таб,6,FALSE)</f>
        <v>0</v>
      </c>
      <c r="P183" s="33">
        <f>VLOOKUP(обед2,таб,6,FALSE)</f>
        <v>0</v>
      </c>
      <c r="Q183" s="33">
        <f>VLOOKUP(обед3,таб,6,FALSE)</f>
        <v>0</v>
      </c>
      <c r="R183" s="33">
        <f>VLOOKUP(обед4,таб,6,FALSE)</f>
        <v>0</v>
      </c>
      <c r="S183" s="33">
        <f>VLOOKUP(обед5,таб,6,FALSE)</f>
        <v>0</v>
      </c>
      <c r="T183" s="33">
        <f>VLOOKUP(обед6,таб,6,FALSE)</f>
        <v>0</v>
      </c>
      <c r="U183" s="33">
        <f>VLOOKUP(обед7,таб,6,FALSE)</f>
        <v>0</v>
      </c>
      <c r="V183" s="87">
        <f>VLOOKUP(обед8,таб,6,FALSE)</f>
        <v>0</v>
      </c>
      <c r="W183" s="34">
        <f>VLOOKUP(полдник1,таб,6,FALSE)</f>
        <v>0</v>
      </c>
      <c r="X183" s="33"/>
      <c r="Y183" s="87">
        <f>VLOOKUP(полдник3,таб,6,FALSE)</f>
        <v>0</v>
      </c>
      <c r="Z183" s="34">
        <f>VLOOKUP(ужин1,таб,6,FALSE)</f>
        <v>0</v>
      </c>
      <c r="AA183" s="33">
        <f>VLOOKUP(ужин2,таб,6,FALSE)</f>
        <v>0</v>
      </c>
      <c r="AB183" s="33">
        <f>VLOOKUP(ужин3,таб,6,FALSE)</f>
        <v>0</v>
      </c>
      <c r="AC183" s="33">
        <f>VLOOKUP(ужин4,таб,6,FALSE)</f>
        <v>0</v>
      </c>
      <c r="AD183" s="33">
        <f>VLOOKUP(ужин5,таб,6,FALSE)</f>
        <v>0</v>
      </c>
      <c r="AE183" s="33">
        <f>VLOOKUP(ужин6,таб,6,FALSE)</f>
        <v>0</v>
      </c>
      <c r="AF183" s="33">
        <f>VLOOKUP(ужин7,таб,6,FALSE)</f>
        <v>0</v>
      </c>
      <c r="AG183" s="87">
        <f>VLOOKUP(ужин8,таб,6,FALSE)</f>
        <v>0</v>
      </c>
      <c r="AH183" s="253"/>
      <c r="AI183" s="139">
        <f>AK183/сред</f>
        <v>0</v>
      </c>
      <c r="AJ183" s="140"/>
      <c r="AK183" s="143">
        <f>SUM(G184:AG184)</f>
        <v>0</v>
      </c>
      <c r="AL183" s="143"/>
      <c r="AM183" s="131">
        <f>IF(AK183=0,0,Таблиця!G267)</f>
        <v>0</v>
      </c>
      <c r="AN183" s="129">
        <f>AK183*AM183</f>
        <v>0</v>
      </c>
      <c r="AO183" s="16"/>
      <c r="AQ183" s="102"/>
      <c r="AR183">
        <v>183</v>
      </c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DE183" s="54"/>
    </row>
    <row r="184" spans="1:109" ht="30.75" customHeight="1">
      <c r="A184" s="136"/>
      <c r="B184" s="137"/>
      <c r="C184" s="137"/>
      <c r="D184" s="137"/>
      <c r="E184" s="138"/>
      <c r="F184" s="107" t="s">
        <v>96</v>
      </c>
      <c r="G184" s="75">
        <f aca="true" t="shared" si="234" ref="G184:AG184">IF(G183=0,"",завтракл*G183/1000)</f>
      </c>
      <c r="H184" s="23">
        <f t="shared" si="234"/>
      </c>
      <c r="I184" s="23"/>
      <c r="J184" s="23">
        <f t="shared" si="234"/>
      </c>
      <c r="K184" s="23">
        <f t="shared" si="234"/>
      </c>
      <c r="L184" s="122">
        <f t="shared" si="234"/>
      </c>
      <c r="M184" s="75">
        <f t="shared" si="234"/>
      </c>
      <c r="N184" s="83">
        <f t="shared" si="234"/>
      </c>
      <c r="O184" s="75">
        <f t="shared" si="234"/>
      </c>
      <c r="P184" s="23">
        <f t="shared" si="234"/>
      </c>
      <c r="Q184" s="23">
        <f t="shared" si="234"/>
      </c>
      <c r="R184" s="23">
        <f t="shared" si="234"/>
      </c>
      <c r="S184" s="23">
        <f t="shared" si="234"/>
      </c>
      <c r="T184" s="23">
        <f t="shared" si="234"/>
      </c>
      <c r="U184" s="23">
        <f t="shared" si="234"/>
      </c>
      <c r="V184" s="83">
        <f t="shared" si="234"/>
      </c>
      <c r="W184" s="25">
        <f t="shared" si="234"/>
      </c>
      <c r="X184" s="23"/>
      <c r="Y184" s="83">
        <f t="shared" si="234"/>
      </c>
      <c r="Z184" s="25">
        <f t="shared" si="234"/>
      </c>
      <c r="AA184" s="23">
        <f t="shared" si="234"/>
      </c>
      <c r="AB184" s="23">
        <f t="shared" si="234"/>
      </c>
      <c r="AC184" s="23">
        <f t="shared" si="234"/>
      </c>
      <c r="AD184" s="23">
        <f t="shared" si="234"/>
      </c>
      <c r="AE184" s="23">
        <f t="shared" si="234"/>
      </c>
      <c r="AF184" s="23">
        <f t="shared" si="234"/>
      </c>
      <c r="AG184" s="83">
        <f t="shared" si="234"/>
      </c>
      <c r="AH184" s="254"/>
      <c r="AI184" s="139"/>
      <c r="AJ184" s="140"/>
      <c r="AK184" s="143"/>
      <c r="AL184" s="143"/>
      <c r="AM184" s="132"/>
      <c r="AN184" s="130"/>
      <c r="AO184" s="16"/>
      <c r="AQ184" s="102"/>
      <c r="AR184">
        <v>184</v>
      </c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DE184" s="54"/>
    </row>
    <row r="185" spans="1:109" ht="30.75" customHeight="1">
      <c r="A185" s="133" t="s">
        <v>429</v>
      </c>
      <c r="B185" s="134"/>
      <c r="C185" s="134"/>
      <c r="D185" s="134"/>
      <c r="E185" s="135"/>
      <c r="F185" s="106" t="s">
        <v>95</v>
      </c>
      <c r="G185" s="71">
        <f>VLOOKUP(завтрак1,таб,7,FALSE)</f>
        <v>0</v>
      </c>
      <c r="H185" s="26">
        <f>VLOOKUP(завтрак2,таб,7,FALSE)</f>
        <v>0</v>
      </c>
      <c r="I185" s="26"/>
      <c r="J185" s="26">
        <f>VLOOKUP(завтрак4,таб,7,FALSE)</f>
        <v>0</v>
      </c>
      <c r="K185" s="26">
        <f>VLOOKUP(завтрак5,таб,7,FALSE)</f>
        <v>0</v>
      </c>
      <c r="L185" s="116">
        <f>VLOOKUP(завтрак6,таб,7,FALSE)</f>
        <v>0</v>
      </c>
      <c r="M185" s="71">
        <f>VLOOKUP(завтрак7,таб,7,FALSE)</f>
        <v>0</v>
      </c>
      <c r="N185" s="81">
        <f>VLOOKUP(завтрак8,таб,7,FALSE)</f>
        <v>0</v>
      </c>
      <c r="O185" s="34">
        <f>VLOOKUP(обед1,таб,7,FALSE)</f>
        <v>0</v>
      </c>
      <c r="P185" s="33">
        <f>VLOOKUP(обед2,таб,7,FALSE)</f>
        <v>0</v>
      </c>
      <c r="Q185" s="33">
        <f>VLOOKUP(обед3,таб,7,FALSE)</f>
        <v>0</v>
      </c>
      <c r="R185" s="33">
        <f>VLOOKUP(обед4,таб,7,FALSE)</f>
        <v>0</v>
      </c>
      <c r="S185" s="33">
        <f>VLOOKUP(обед5,таб,7,FALSE)</f>
        <v>0</v>
      </c>
      <c r="T185" s="33">
        <f>VLOOKUP(обед6,таб,7,FALSE)</f>
        <v>0</v>
      </c>
      <c r="U185" s="33">
        <f>VLOOKUP(обед7,таб,7,FALSE)</f>
        <v>0</v>
      </c>
      <c r="V185" s="87">
        <f>VLOOKUP(обед8,таб,7,FALSE)</f>
        <v>0</v>
      </c>
      <c r="W185" s="34">
        <f>VLOOKUP(полдник1,таб,7,FALSE)</f>
        <v>0</v>
      </c>
      <c r="X185" s="33"/>
      <c r="Y185" s="87">
        <f>VLOOKUP(полдник3,таб,7,FALSE)</f>
        <v>0</v>
      </c>
      <c r="Z185" s="34">
        <f>VLOOKUP(ужин1,таб,7,FALSE)</f>
        <v>0</v>
      </c>
      <c r="AA185" s="33">
        <f>VLOOKUP(ужин2,таб,7,FALSE)</f>
        <v>0</v>
      </c>
      <c r="AB185" s="33">
        <f>VLOOKUP(ужин3,таб,7,FALSE)</f>
        <v>0</v>
      </c>
      <c r="AC185" s="33">
        <f>VLOOKUP(ужин4,таб,7,FALSE)</f>
        <v>0</v>
      </c>
      <c r="AD185" s="33">
        <f>VLOOKUP(ужин5,таб,7,FALSE)</f>
        <v>0</v>
      </c>
      <c r="AE185" s="33">
        <f>VLOOKUP(ужин6,таб,7,FALSE)</f>
        <v>0</v>
      </c>
      <c r="AF185" s="33">
        <f>VLOOKUP(ужин7,таб,7,FALSE)</f>
        <v>0</v>
      </c>
      <c r="AG185" s="87">
        <f>VLOOKUP(ужин8,таб,7,FALSE)</f>
        <v>0</v>
      </c>
      <c r="AH185" s="253"/>
      <c r="AI185" s="139">
        <f>AK185/сред</f>
        <v>0</v>
      </c>
      <c r="AJ185" s="140"/>
      <c r="AK185" s="143">
        <f>SUM(G186:AG186)</f>
        <v>0</v>
      </c>
      <c r="AL185" s="143"/>
      <c r="AM185" s="131">
        <f>IF(AK185=0,0,Таблиця!H267)</f>
        <v>0</v>
      </c>
      <c r="AN185" s="129">
        <f>AK185*AM185</f>
        <v>0</v>
      </c>
      <c r="AO185" s="16"/>
      <c r="AQ185" s="102"/>
      <c r="AR185">
        <v>185</v>
      </c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DE185" s="54"/>
    </row>
    <row r="186" spans="1:109" ht="30.75" customHeight="1">
      <c r="A186" s="136"/>
      <c r="B186" s="137"/>
      <c r="C186" s="137"/>
      <c r="D186" s="137"/>
      <c r="E186" s="138"/>
      <c r="F186" s="107" t="s">
        <v>96</v>
      </c>
      <c r="G186" s="75">
        <f aca="true" t="shared" si="235" ref="G186:AG186">IF(G185=0,"",завтракл*G185/1000)</f>
      </c>
      <c r="H186" s="23">
        <f t="shared" si="235"/>
      </c>
      <c r="I186" s="23"/>
      <c r="J186" s="23">
        <f t="shared" si="235"/>
      </c>
      <c r="K186" s="23">
        <f t="shared" si="235"/>
      </c>
      <c r="L186" s="122">
        <f t="shared" si="235"/>
      </c>
      <c r="M186" s="75">
        <f t="shared" si="235"/>
      </c>
      <c r="N186" s="83">
        <f t="shared" si="235"/>
      </c>
      <c r="O186" s="75">
        <f t="shared" si="235"/>
      </c>
      <c r="P186" s="23">
        <f t="shared" si="235"/>
      </c>
      <c r="Q186" s="23">
        <f t="shared" si="235"/>
      </c>
      <c r="R186" s="23">
        <f t="shared" si="235"/>
      </c>
      <c r="S186" s="23">
        <f t="shared" si="235"/>
      </c>
      <c r="T186" s="23">
        <f t="shared" si="235"/>
      </c>
      <c r="U186" s="23">
        <f t="shared" si="235"/>
      </c>
      <c r="V186" s="83">
        <f t="shared" si="235"/>
      </c>
      <c r="W186" s="25">
        <f t="shared" si="235"/>
      </c>
      <c r="X186" s="23"/>
      <c r="Y186" s="83">
        <f t="shared" si="235"/>
      </c>
      <c r="Z186" s="25">
        <f t="shared" si="235"/>
      </c>
      <c r="AA186" s="23">
        <f t="shared" si="235"/>
      </c>
      <c r="AB186" s="23">
        <f t="shared" si="235"/>
      </c>
      <c r="AC186" s="23">
        <f t="shared" si="235"/>
      </c>
      <c r="AD186" s="23">
        <f t="shared" si="235"/>
      </c>
      <c r="AE186" s="23">
        <f t="shared" si="235"/>
      </c>
      <c r="AF186" s="23">
        <f t="shared" si="235"/>
      </c>
      <c r="AG186" s="83">
        <f t="shared" si="235"/>
      </c>
      <c r="AH186" s="254"/>
      <c r="AI186" s="139"/>
      <c r="AJ186" s="140"/>
      <c r="AK186" s="143"/>
      <c r="AL186" s="143"/>
      <c r="AM186" s="132"/>
      <c r="AN186" s="130"/>
      <c r="AO186" s="16"/>
      <c r="AQ186" s="102"/>
      <c r="AR186">
        <v>186</v>
      </c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DE186" s="54"/>
    </row>
    <row r="187" spans="1:109" ht="30.75" customHeight="1">
      <c r="A187" s="133" t="s">
        <v>430</v>
      </c>
      <c r="B187" s="134"/>
      <c r="C187" s="134"/>
      <c r="D187" s="134"/>
      <c r="E187" s="135"/>
      <c r="F187" s="106" t="s">
        <v>95</v>
      </c>
      <c r="G187" s="71">
        <f>VLOOKUP(завтрак1,таб,9,FALSE)</f>
        <v>0</v>
      </c>
      <c r="H187" s="26">
        <f>VLOOKUP(завтрак2,таб,9,FALSE)</f>
        <v>0</v>
      </c>
      <c r="I187" s="26"/>
      <c r="J187" s="26">
        <f>VLOOKUP(завтрак4,таб,9,FALSE)</f>
        <v>0</v>
      </c>
      <c r="K187" s="26">
        <f>VLOOKUP(завтрак5,таб,9,FALSE)</f>
        <v>0</v>
      </c>
      <c r="L187" s="116">
        <f>VLOOKUP(завтрак6,таб,9,FALSE)</f>
        <v>0</v>
      </c>
      <c r="M187" s="71">
        <f>VLOOKUP(завтрак7,таб,9,FALSE)</f>
        <v>0</v>
      </c>
      <c r="N187" s="81">
        <f>VLOOKUP(завтрак8,таб,9,FALSE)</f>
        <v>0</v>
      </c>
      <c r="O187" s="34">
        <f>VLOOKUP(обед1,таб,9,FALSE)</f>
        <v>0</v>
      </c>
      <c r="P187" s="33">
        <f>VLOOKUP(обед2,таб,9,FALSE)</f>
        <v>0</v>
      </c>
      <c r="Q187" s="33">
        <f>VLOOKUP(обед3,таб,9,FALSE)</f>
        <v>0</v>
      </c>
      <c r="R187" s="33">
        <f>VLOOKUP(обед4,таб,9,FALSE)</f>
        <v>0</v>
      </c>
      <c r="S187" s="33">
        <f>VLOOKUP(обед5,таб,9,FALSE)</f>
        <v>0</v>
      </c>
      <c r="T187" s="33">
        <f>VLOOKUP(обед6,таб,9,FALSE)</f>
        <v>0</v>
      </c>
      <c r="U187" s="33">
        <f>VLOOKUP(обед7,таб,9,FALSE)</f>
        <v>0</v>
      </c>
      <c r="V187" s="87">
        <f>VLOOKUP(обед8,таб,9,FALSE)</f>
        <v>0</v>
      </c>
      <c r="W187" s="34">
        <f>VLOOKUP(полдник1,таб,9,FALSE)</f>
        <v>0</v>
      </c>
      <c r="X187" s="33"/>
      <c r="Y187" s="87">
        <f>VLOOKUP(полдник3,таб,9,FALSE)</f>
        <v>0</v>
      </c>
      <c r="Z187" s="34">
        <f>VLOOKUP(ужин1,таб,9,FALSE)</f>
        <v>0</v>
      </c>
      <c r="AA187" s="33">
        <f>VLOOKUP(ужин2,таб,9,FALSE)</f>
        <v>0</v>
      </c>
      <c r="AB187" s="33">
        <f>VLOOKUP(ужин3,таб,9,FALSE)</f>
        <v>0</v>
      </c>
      <c r="AC187" s="33">
        <f>VLOOKUP(ужин4,таб,9,FALSE)</f>
        <v>0</v>
      </c>
      <c r="AD187" s="33">
        <f>VLOOKUP(ужин5,таб,9,FALSE)</f>
        <v>0</v>
      </c>
      <c r="AE187" s="33">
        <f>VLOOKUP(ужин6,таб,9,FALSE)</f>
        <v>0</v>
      </c>
      <c r="AF187" s="33">
        <f>VLOOKUP(ужин7,таб,9,FALSE)</f>
        <v>0</v>
      </c>
      <c r="AG187" s="87">
        <f>VLOOKUP(ужин8,таб,9,FALSE)</f>
        <v>0</v>
      </c>
      <c r="AH187" s="253"/>
      <c r="AI187" s="139">
        <f>AK187/сред</f>
        <v>0</v>
      </c>
      <c r="AJ187" s="140"/>
      <c r="AK187" s="143">
        <f>SUM(G188:AG188)</f>
        <v>0</v>
      </c>
      <c r="AL187" s="143"/>
      <c r="AM187" s="131">
        <f>IF(AK187=0,0,Таблиця!J267)</f>
        <v>0</v>
      </c>
      <c r="AN187" s="129">
        <f>AK187*AM187</f>
        <v>0</v>
      </c>
      <c r="AO187" s="16"/>
      <c r="AQ187" s="102"/>
      <c r="AR187">
        <v>187</v>
      </c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DE187" s="54"/>
    </row>
    <row r="188" spans="1:109" ht="30.75" customHeight="1">
      <c r="A188" s="136"/>
      <c r="B188" s="137"/>
      <c r="C188" s="137"/>
      <c r="D188" s="137"/>
      <c r="E188" s="138"/>
      <c r="F188" s="107" t="s">
        <v>96</v>
      </c>
      <c r="G188" s="75">
        <f aca="true" t="shared" si="236" ref="G188:AG188">IF(G187=0,"",завтракл*G187/1000)</f>
      </c>
      <c r="H188" s="23">
        <f t="shared" si="236"/>
      </c>
      <c r="I188" s="23"/>
      <c r="J188" s="23">
        <f t="shared" si="236"/>
      </c>
      <c r="K188" s="23">
        <f t="shared" si="236"/>
      </c>
      <c r="L188" s="122">
        <f t="shared" si="236"/>
      </c>
      <c r="M188" s="75">
        <f t="shared" si="236"/>
      </c>
      <c r="N188" s="83">
        <f t="shared" si="236"/>
      </c>
      <c r="O188" s="75">
        <f t="shared" si="236"/>
      </c>
      <c r="P188" s="23">
        <f t="shared" si="236"/>
      </c>
      <c r="Q188" s="23">
        <f t="shared" si="236"/>
      </c>
      <c r="R188" s="23">
        <f t="shared" si="236"/>
      </c>
      <c r="S188" s="23">
        <f t="shared" si="236"/>
      </c>
      <c r="T188" s="23">
        <f t="shared" si="236"/>
      </c>
      <c r="U188" s="23">
        <f t="shared" si="236"/>
      </c>
      <c r="V188" s="83">
        <f t="shared" si="236"/>
      </c>
      <c r="W188" s="25">
        <f t="shared" si="236"/>
      </c>
      <c r="X188" s="23"/>
      <c r="Y188" s="83">
        <f t="shared" si="236"/>
      </c>
      <c r="Z188" s="25">
        <f t="shared" si="236"/>
      </c>
      <c r="AA188" s="23">
        <f t="shared" si="236"/>
      </c>
      <c r="AB188" s="23">
        <f t="shared" si="236"/>
      </c>
      <c r="AC188" s="23">
        <f t="shared" si="236"/>
      </c>
      <c r="AD188" s="23">
        <f t="shared" si="236"/>
      </c>
      <c r="AE188" s="23">
        <f t="shared" si="236"/>
      </c>
      <c r="AF188" s="23">
        <f t="shared" si="236"/>
      </c>
      <c r="AG188" s="83">
        <f t="shared" si="236"/>
      </c>
      <c r="AH188" s="254"/>
      <c r="AI188" s="139"/>
      <c r="AJ188" s="140"/>
      <c r="AK188" s="143"/>
      <c r="AL188" s="143"/>
      <c r="AM188" s="132"/>
      <c r="AN188" s="130"/>
      <c r="AO188" s="16"/>
      <c r="AQ188" s="102"/>
      <c r="AR188">
        <v>188</v>
      </c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DE188" s="54"/>
    </row>
    <row r="189" spans="1:109" ht="30.75" customHeight="1" hidden="1">
      <c r="A189" s="133" t="s">
        <v>431</v>
      </c>
      <c r="B189" s="134"/>
      <c r="C189" s="134"/>
      <c r="D189" s="134"/>
      <c r="E189" s="135"/>
      <c r="F189" s="106" t="s">
        <v>95</v>
      </c>
      <c r="G189" s="71">
        <f>VLOOKUP(завтрак1,таб,11,FALSE)</f>
        <v>0</v>
      </c>
      <c r="H189" s="26">
        <f>VLOOKUP(завтрак2,таб,11,FALSE)</f>
        <v>0</v>
      </c>
      <c r="I189" s="26"/>
      <c r="J189" s="26">
        <f>VLOOKUP(завтрак4,таб,11,FALSE)</f>
        <v>0</v>
      </c>
      <c r="K189" s="26">
        <f>VLOOKUP(завтрак5,таб,11,FALSE)</f>
        <v>0</v>
      </c>
      <c r="L189" s="116">
        <f>VLOOKUP(завтрак6,таб,11,FALSE)</f>
        <v>0</v>
      </c>
      <c r="M189" s="71">
        <f>VLOOKUP(завтрак7,таб,11,FALSE)</f>
        <v>0</v>
      </c>
      <c r="N189" s="81">
        <f>VLOOKUP(завтрак8,таб,11,FALSE)</f>
        <v>0</v>
      </c>
      <c r="O189" s="34"/>
      <c r="P189" s="33">
        <f>VLOOKUP(обед2,таб,11,FALSE)</f>
        <v>0</v>
      </c>
      <c r="Q189" s="33">
        <f>VLOOKUP(обед3,таб,11,FALSE)</f>
        <v>0</v>
      </c>
      <c r="R189" s="33">
        <f>VLOOKUP(обед4,таб,11,FALSE)</f>
        <v>0</v>
      </c>
      <c r="S189" s="33">
        <f>VLOOKUP(обед5,таб,11,FALSE)</f>
        <v>0</v>
      </c>
      <c r="T189" s="33">
        <f>VLOOKUP(обед6,таб,11,FALSE)</f>
        <v>0</v>
      </c>
      <c r="U189" s="33">
        <f>VLOOKUP(обед7,таб,11,FALSE)</f>
        <v>0</v>
      </c>
      <c r="V189" s="87">
        <f>VLOOKUP(обед8,таб,11,FALSE)</f>
        <v>0</v>
      </c>
      <c r="W189" s="34">
        <f>VLOOKUP(полдник1,таб,11,FALSE)</f>
        <v>0</v>
      </c>
      <c r="X189" s="33"/>
      <c r="Y189" s="87">
        <f>VLOOKUP(полдник3,таб,11,FALSE)</f>
        <v>0</v>
      </c>
      <c r="Z189" s="34">
        <f>VLOOKUP(ужин1,таб,11,FALSE)</f>
        <v>0</v>
      </c>
      <c r="AA189" s="33">
        <f>VLOOKUP(ужин2,таб,11,FALSE)</f>
        <v>0</v>
      </c>
      <c r="AB189" s="33">
        <f>VLOOKUP(ужин3,таб,11,FALSE)</f>
        <v>0</v>
      </c>
      <c r="AC189" s="33">
        <f>VLOOKUP(ужин4,таб,11,FALSE)</f>
        <v>0</v>
      </c>
      <c r="AD189" s="33">
        <f>VLOOKUP(ужин5,таб,11,FALSE)</f>
        <v>0</v>
      </c>
      <c r="AE189" s="33">
        <f>VLOOKUP(ужин6,таб,11,FALSE)</f>
        <v>0</v>
      </c>
      <c r="AF189" s="33">
        <f>VLOOKUP(ужин7,таб,11,FALSE)</f>
        <v>0</v>
      </c>
      <c r="AG189" s="87">
        <f>VLOOKUP(ужин8,таб,11,FALSE)</f>
        <v>0</v>
      </c>
      <c r="AH189" s="253"/>
      <c r="AI189" s="139">
        <f>AK189/сред</f>
        <v>0</v>
      </c>
      <c r="AJ189" s="140"/>
      <c r="AK189" s="143">
        <f>SUM(G190:AG190)</f>
        <v>0</v>
      </c>
      <c r="AL189" s="143"/>
      <c r="AM189" s="131">
        <f>IF(AK189=0,0,Таблиця!L267)</f>
        <v>0</v>
      </c>
      <c r="AN189" s="129">
        <f>AK189*AM189</f>
        <v>0</v>
      </c>
      <c r="AO189" s="16"/>
      <c r="AQ189" s="102"/>
      <c r="AR189">
        <v>189</v>
      </c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DE189" s="54"/>
    </row>
    <row r="190" spans="1:109" ht="30.75" customHeight="1" hidden="1">
      <c r="A190" s="136"/>
      <c r="B190" s="137"/>
      <c r="C190" s="137"/>
      <c r="D190" s="137"/>
      <c r="E190" s="138"/>
      <c r="F190" s="107" t="s">
        <v>96</v>
      </c>
      <c r="G190" s="75">
        <f aca="true" t="shared" si="237" ref="G190:AG190">IF(G189=0,"",завтракл*G189/1000)</f>
      </c>
      <c r="H190" s="23">
        <f t="shared" si="237"/>
      </c>
      <c r="I190" s="23"/>
      <c r="J190" s="23">
        <f t="shared" si="237"/>
      </c>
      <c r="K190" s="23">
        <f t="shared" si="237"/>
      </c>
      <c r="L190" s="122">
        <f t="shared" si="237"/>
      </c>
      <c r="M190" s="75">
        <f t="shared" si="237"/>
      </c>
      <c r="N190" s="83">
        <f t="shared" si="237"/>
      </c>
      <c r="O190" s="75">
        <f t="shared" si="237"/>
      </c>
      <c r="P190" s="23">
        <f t="shared" si="237"/>
      </c>
      <c r="Q190" s="23">
        <f t="shared" si="237"/>
      </c>
      <c r="R190" s="23">
        <f t="shared" si="237"/>
      </c>
      <c r="S190" s="23">
        <f t="shared" si="237"/>
      </c>
      <c r="T190" s="23">
        <f t="shared" si="237"/>
      </c>
      <c r="U190" s="23">
        <f t="shared" si="237"/>
      </c>
      <c r="V190" s="83">
        <f t="shared" si="237"/>
      </c>
      <c r="W190" s="25">
        <f t="shared" si="237"/>
      </c>
      <c r="X190" s="23"/>
      <c r="Y190" s="83">
        <f t="shared" si="237"/>
      </c>
      <c r="Z190" s="25">
        <f t="shared" si="237"/>
      </c>
      <c r="AA190" s="23">
        <f t="shared" si="237"/>
      </c>
      <c r="AB190" s="23">
        <f t="shared" si="237"/>
      </c>
      <c r="AC190" s="23">
        <f t="shared" si="237"/>
      </c>
      <c r="AD190" s="23">
        <f t="shared" si="237"/>
      </c>
      <c r="AE190" s="23">
        <f t="shared" si="237"/>
      </c>
      <c r="AF190" s="23">
        <f t="shared" si="237"/>
      </c>
      <c r="AG190" s="83">
        <f t="shared" si="237"/>
      </c>
      <c r="AH190" s="254"/>
      <c r="AI190" s="139"/>
      <c r="AJ190" s="140"/>
      <c r="AK190" s="143"/>
      <c r="AL190" s="143"/>
      <c r="AM190" s="132"/>
      <c r="AN190" s="130"/>
      <c r="AO190" s="16"/>
      <c r="AQ190" s="102"/>
      <c r="AR190">
        <v>190</v>
      </c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DE190" s="54"/>
    </row>
    <row r="191" spans="1:109" ht="30.75" customHeight="1" hidden="1">
      <c r="A191" s="133" t="s">
        <v>432</v>
      </c>
      <c r="B191" s="134"/>
      <c r="C191" s="134"/>
      <c r="D191" s="134"/>
      <c r="E191" s="135"/>
      <c r="F191" s="106" t="s">
        <v>95</v>
      </c>
      <c r="G191" s="71">
        <f>VLOOKUP(завтрак1,таб,57,FALSE)</f>
        <v>0</v>
      </c>
      <c r="H191" s="26">
        <f>VLOOKUP(завтрак2,таб,57,FALSE)</f>
        <v>0</v>
      </c>
      <c r="I191" s="26"/>
      <c r="J191" s="26">
        <f>VLOOKUP(завтрак4,таб,57,FALSE)</f>
        <v>0</v>
      </c>
      <c r="K191" s="26">
        <f>VLOOKUP(завтрак5,таб,57,FALSE)</f>
        <v>0</v>
      </c>
      <c r="L191" s="116">
        <f>VLOOKUP(завтрак6,таб,57,FALSE)</f>
        <v>0</v>
      </c>
      <c r="M191" s="71">
        <f>VLOOKUP(завтрак7,таб,57,FALSE)</f>
        <v>0</v>
      </c>
      <c r="N191" s="81">
        <f>VLOOKUP(завтрак8,таб,57,FALSE)</f>
        <v>0</v>
      </c>
      <c r="O191" s="34">
        <f>VLOOKUP(обед1,таб,57,FALSE)</f>
        <v>0</v>
      </c>
      <c r="P191" s="33">
        <f>VLOOKUP(обед2,таб,57,FALSE)</f>
        <v>0</v>
      </c>
      <c r="Q191" s="33">
        <f>VLOOKUP(обед3,таб,57,FALSE)</f>
        <v>0</v>
      </c>
      <c r="R191" s="33">
        <f>VLOOKUP(обед4,таб,57,FALSE)</f>
        <v>0</v>
      </c>
      <c r="S191" s="33">
        <f>VLOOKUP(обед5,таб,57,FALSE)</f>
        <v>0</v>
      </c>
      <c r="T191" s="33">
        <f>VLOOKUP(обед6,таб,57,FALSE)</f>
        <v>0</v>
      </c>
      <c r="U191" s="33">
        <f>VLOOKUP(обед7,таб,57,FALSE)</f>
        <v>0</v>
      </c>
      <c r="V191" s="87">
        <f>VLOOKUP(обед8,таб,57,FALSE)</f>
        <v>0</v>
      </c>
      <c r="W191" s="34">
        <f>VLOOKUP(полдник1,таб,57,FALSE)</f>
        <v>0</v>
      </c>
      <c r="X191" s="33"/>
      <c r="Y191" s="87">
        <f>VLOOKUP(полдник3,таб,57,FALSE)</f>
        <v>0</v>
      </c>
      <c r="Z191" s="34">
        <f>VLOOKUP(ужин1,таб,57,FALSE)</f>
        <v>0</v>
      </c>
      <c r="AA191" s="33">
        <f>VLOOKUP(ужин2,таб,57,FALSE)</f>
        <v>0</v>
      </c>
      <c r="AB191" s="33">
        <f>VLOOKUP(ужин3,таб,57,FALSE)</f>
        <v>0</v>
      </c>
      <c r="AC191" s="33">
        <f>VLOOKUP(ужин4,таб,57,FALSE)</f>
        <v>0</v>
      </c>
      <c r="AD191" s="33">
        <f>VLOOKUP(ужин5,таб,57,FALSE)</f>
        <v>0</v>
      </c>
      <c r="AE191" s="33">
        <f>VLOOKUP(ужин6,таб,57,FALSE)</f>
        <v>0</v>
      </c>
      <c r="AF191" s="33">
        <f>VLOOKUP(ужин7,таб,57,FALSE)</f>
        <v>0</v>
      </c>
      <c r="AG191" s="87">
        <f>VLOOKUP(ужин8,таб,57,FALSE)</f>
        <v>0</v>
      </c>
      <c r="AH191" s="253"/>
      <c r="AI191" s="139">
        <f>AK191/сред</f>
        <v>0</v>
      </c>
      <c r="AJ191" s="140"/>
      <c r="AK191" s="143">
        <f>SUM(G192:AG192)</f>
        <v>0</v>
      </c>
      <c r="AL191" s="143"/>
      <c r="AM191" s="131">
        <f>IF(AK191=0,0,Таблиця!M267)</f>
        <v>0</v>
      </c>
      <c r="AN191" s="129">
        <f>AK191*AM191</f>
        <v>0</v>
      </c>
      <c r="AO191" s="16"/>
      <c r="AQ191" s="102"/>
      <c r="AR191">
        <v>191</v>
      </c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DE191" s="54"/>
    </row>
    <row r="192" spans="1:109" ht="30.75" customHeight="1" hidden="1">
      <c r="A192" s="136"/>
      <c r="B192" s="137"/>
      <c r="C192" s="137"/>
      <c r="D192" s="137"/>
      <c r="E192" s="138"/>
      <c r="F192" s="107" t="s">
        <v>96</v>
      </c>
      <c r="G192" s="75">
        <f aca="true" t="shared" si="238" ref="G192:AG192">IF(G191=0,"",завтракл*G191/1000)</f>
      </c>
      <c r="H192" s="23">
        <f t="shared" si="238"/>
      </c>
      <c r="I192" s="23"/>
      <c r="J192" s="23">
        <f t="shared" si="238"/>
      </c>
      <c r="K192" s="23">
        <f t="shared" si="238"/>
      </c>
      <c r="L192" s="122">
        <f t="shared" si="238"/>
      </c>
      <c r="M192" s="75">
        <f t="shared" si="238"/>
      </c>
      <c r="N192" s="83">
        <f t="shared" si="238"/>
      </c>
      <c r="O192" s="75">
        <f t="shared" si="238"/>
      </c>
      <c r="P192" s="23">
        <f t="shared" si="238"/>
      </c>
      <c r="Q192" s="23">
        <f t="shared" si="238"/>
      </c>
      <c r="R192" s="23">
        <f t="shared" si="238"/>
      </c>
      <c r="S192" s="23">
        <f t="shared" si="238"/>
      </c>
      <c r="T192" s="23">
        <f t="shared" si="238"/>
      </c>
      <c r="U192" s="23">
        <f t="shared" si="238"/>
      </c>
      <c r="V192" s="83">
        <f t="shared" si="238"/>
      </c>
      <c r="W192" s="25">
        <f t="shared" si="238"/>
      </c>
      <c r="X192" s="23"/>
      <c r="Y192" s="83">
        <f t="shared" si="238"/>
      </c>
      <c r="Z192" s="25">
        <f t="shared" si="238"/>
      </c>
      <c r="AA192" s="23">
        <f t="shared" si="238"/>
      </c>
      <c r="AB192" s="23">
        <f t="shared" si="238"/>
      </c>
      <c r="AC192" s="23">
        <f t="shared" si="238"/>
      </c>
      <c r="AD192" s="23">
        <f t="shared" si="238"/>
      </c>
      <c r="AE192" s="23">
        <f t="shared" si="238"/>
      </c>
      <c r="AF192" s="23">
        <f t="shared" si="238"/>
      </c>
      <c r="AG192" s="83">
        <f t="shared" si="238"/>
      </c>
      <c r="AH192" s="254"/>
      <c r="AI192" s="139"/>
      <c r="AJ192" s="140"/>
      <c r="AK192" s="143"/>
      <c r="AL192" s="143"/>
      <c r="AM192" s="132"/>
      <c r="AN192" s="130"/>
      <c r="AO192" s="16"/>
      <c r="AQ192" s="102"/>
      <c r="AR192">
        <v>192</v>
      </c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DE192" s="54"/>
    </row>
    <row r="193" spans="1:109" ht="30.75" customHeight="1" hidden="1">
      <c r="A193" s="133" t="s">
        <v>433</v>
      </c>
      <c r="B193" s="134"/>
      <c r="C193" s="134"/>
      <c r="D193" s="134"/>
      <c r="E193" s="135"/>
      <c r="F193" s="106" t="s">
        <v>95</v>
      </c>
      <c r="G193" s="71">
        <f>VLOOKUP(завтрак1,таб,15,FALSE)</f>
        <v>0</v>
      </c>
      <c r="H193" s="26">
        <f>VLOOKUP(завтрак2,таб,15,FALSE)</f>
        <v>0</v>
      </c>
      <c r="I193" s="26"/>
      <c r="J193" s="26">
        <f>VLOOKUP(завтрак4,таб,15,FALSE)</f>
        <v>0</v>
      </c>
      <c r="K193" s="26">
        <f>VLOOKUP(завтрак5,таб,15,FALSE)</f>
        <v>0</v>
      </c>
      <c r="L193" s="116">
        <f>VLOOKUP(завтрак6,таб,15,FALSE)</f>
        <v>0</v>
      </c>
      <c r="M193" s="71">
        <f>VLOOKUP(завтрак7,таб,15,FALSE)</f>
        <v>0</v>
      </c>
      <c r="N193" s="81">
        <f>VLOOKUP(завтрак8,таб,15,FALSE)</f>
        <v>0</v>
      </c>
      <c r="O193" s="34">
        <f>VLOOKUP(обед1,таб,15,FALSE)</f>
        <v>0</v>
      </c>
      <c r="P193" s="33">
        <f>VLOOKUP(обед2,таб,15,FALSE)</f>
        <v>0</v>
      </c>
      <c r="Q193" s="33">
        <f>VLOOKUP(обед3,таб,15,FALSE)</f>
        <v>0</v>
      </c>
      <c r="R193" s="33">
        <f>VLOOKUP(обед4,таб,15,FALSE)</f>
        <v>0</v>
      </c>
      <c r="S193" s="33">
        <f>VLOOKUP(обед5,таб,15,FALSE)</f>
        <v>0</v>
      </c>
      <c r="T193" s="33">
        <f>VLOOKUP(обед6,таб,15,FALSE)</f>
        <v>0</v>
      </c>
      <c r="U193" s="33">
        <f>VLOOKUP(обед7,таб,15,FALSE)</f>
        <v>0</v>
      </c>
      <c r="V193" s="87">
        <f>VLOOKUP(обед8,таб,15,FALSE)</f>
        <v>0</v>
      </c>
      <c r="W193" s="34">
        <f>VLOOKUP(полдник1,таб,15,FALSE)</f>
        <v>0</v>
      </c>
      <c r="X193" s="33"/>
      <c r="Y193" s="87">
        <f>VLOOKUP(полдник3,таб,15,FALSE)</f>
        <v>0</v>
      </c>
      <c r="Z193" s="34">
        <f>VLOOKUP(ужин1,таб,15,FALSE)</f>
        <v>0</v>
      </c>
      <c r="AA193" s="33">
        <f>VLOOKUP(ужин2,таб,15,FALSE)</f>
        <v>0</v>
      </c>
      <c r="AB193" s="33">
        <f>VLOOKUP(ужин3,таб,15,FALSE)</f>
        <v>0</v>
      </c>
      <c r="AC193" s="33">
        <f>VLOOKUP(ужин4,таб,15,FALSE)</f>
        <v>0</v>
      </c>
      <c r="AD193" s="33">
        <f>VLOOKUP(ужин5,таб,15,FALSE)</f>
        <v>0</v>
      </c>
      <c r="AE193" s="33">
        <f>VLOOKUP(ужин6,таб,15,FALSE)</f>
        <v>0</v>
      </c>
      <c r="AF193" s="33">
        <f>VLOOKUP(ужин7,таб,15,FALSE)</f>
        <v>0</v>
      </c>
      <c r="AG193" s="87">
        <f>VLOOKUP(ужин8,таб,15,FALSE)</f>
        <v>0</v>
      </c>
      <c r="AH193" s="253"/>
      <c r="AI193" s="139">
        <f>AK193/сред</f>
        <v>0</v>
      </c>
      <c r="AJ193" s="140"/>
      <c r="AK193" s="143">
        <f>SUM(G194:AG194)</f>
        <v>0</v>
      </c>
      <c r="AL193" s="143"/>
      <c r="AM193" s="131">
        <f>IF(AK193=0,0,Таблиця!P267)</f>
        <v>0</v>
      </c>
      <c r="AN193" s="129">
        <f>AK193*AM193</f>
        <v>0</v>
      </c>
      <c r="AO193" s="16"/>
      <c r="AQ193" s="102"/>
      <c r="AR193">
        <v>193</v>
      </c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DE193" s="54"/>
    </row>
    <row r="194" spans="1:109" ht="30.75" customHeight="1" hidden="1">
      <c r="A194" s="136"/>
      <c r="B194" s="137"/>
      <c r="C194" s="137"/>
      <c r="D194" s="137"/>
      <c r="E194" s="138"/>
      <c r="F194" s="107" t="s">
        <v>96</v>
      </c>
      <c r="G194" s="75">
        <f aca="true" t="shared" si="239" ref="G194:AG194">IF(G193=0,"",завтракл*G193/1000)</f>
      </c>
      <c r="H194" s="23">
        <f t="shared" si="239"/>
      </c>
      <c r="I194" s="23"/>
      <c r="J194" s="23">
        <f t="shared" si="239"/>
      </c>
      <c r="K194" s="23">
        <f t="shared" si="239"/>
      </c>
      <c r="L194" s="122">
        <f t="shared" si="239"/>
      </c>
      <c r="M194" s="75">
        <f t="shared" si="239"/>
      </c>
      <c r="N194" s="83">
        <f t="shared" si="239"/>
      </c>
      <c r="O194" s="75">
        <f t="shared" si="239"/>
      </c>
      <c r="P194" s="23">
        <f t="shared" si="239"/>
      </c>
      <c r="Q194" s="23">
        <f t="shared" si="239"/>
      </c>
      <c r="R194" s="23">
        <f t="shared" si="239"/>
      </c>
      <c r="S194" s="23">
        <f t="shared" si="239"/>
      </c>
      <c r="T194" s="23">
        <f t="shared" si="239"/>
      </c>
      <c r="U194" s="23">
        <f t="shared" si="239"/>
      </c>
      <c r="V194" s="83">
        <f t="shared" si="239"/>
      </c>
      <c r="W194" s="25">
        <f t="shared" si="239"/>
      </c>
      <c r="X194" s="23"/>
      <c r="Y194" s="83">
        <f t="shared" si="239"/>
      </c>
      <c r="Z194" s="25">
        <f t="shared" si="239"/>
      </c>
      <c r="AA194" s="23">
        <f t="shared" si="239"/>
      </c>
      <c r="AB194" s="23">
        <f t="shared" si="239"/>
      </c>
      <c r="AC194" s="23">
        <f t="shared" si="239"/>
      </c>
      <c r="AD194" s="23">
        <f t="shared" si="239"/>
      </c>
      <c r="AE194" s="23">
        <f t="shared" si="239"/>
      </c>
      <c r="AF194" s="23">
        <f t="shared" si="239"/>
      </c>
      <c r="AG194" s="83">
        <f t="shared" si="239"/>
      </c>
      <c r="AH194" s="254"/>
      <c r="AI194" s="139"/>
      <c r="AJ194" s="140"/>
      <c r="AK194" s="143"/>
      <c r="AL194" s="143"/>
      <c r="AM194" s="132"/>
      <c r="AN194" s="130"/>
      <c r="AO194" s="16"/>
      <c r="AQ194" s="102"/>
      <c r="AR194">
        <v>194</v>
      </c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DE194" s="54"/>
    </row>
    <row r="195" spans="1:109" ht="30.75" customHeight="1" hidden="1">
      <c r="A195" s="133" t="s">
        <v>435</v>
      </c>
      <c r="B195" s="134"/>
      <c r="C195" s="134"/>
      <c r="D195" s="134"/>
      <c r="E195" s="135"/>
      <c r="F195" s="106" t="s">
        <v>95</v>
      </c>
      <c r="G195" s="71">
        <f>VLOOKUP(завтрак1,таб,32,FALSE)</f>
        <v>0</v>
      </c>
      <c r="H195" s="26"/>
      <c r="I195" s="26"/>
      <c r="J195" s="26">
        <f>VLOOKUP(завтрак4,таб,32,FALSE)</f>
        <v>0</v>
      </c>
      <c r="K195" s="26">
        <f>VLOOKUP(завтрак5,таб,32,FALSE)</f>
        <v>0</v>
      </c>
      <c r="L195" s="116">
        <f>VLOOKUP(завтрак6,таб,32,FALSE)</f>
        <v>0</v>
      </c>
      <c r="M195" s="71">
        <f>VLOOKUP(завтрак7,таб,32,FALSE)</f>
        <v>0</v>
      </c>
      <c r="N195" s="81">
        <f>VLOOKUP(завтрак8,таб,32,FALSE)</f>
        <v>0</v>
      </c>
      <c r="O195" s="34">
        <f>VLOOKUP(обед1,таб,32,FALSE)</f>
        <v>0</v>
      </c>
      <c r="P195" s="33">
        <f>VLOOKUP(обед2,таб,32,FALSE)</f>
        <v>0</v>
      </c>
      <c r="Q195" s="33">
        <f>VLOOKUP(обед3,таб,32,FALSE)</f>
        <v>0</v>
      </c>
      <c r="R195" s="33">
        <f>VLOOKUP(обед4,таб,32,FALSE)</f>
        <v>0</v>
      </c>
      <c r="S195" s="33">
        <f>VLOOKUP(обед5,таб,32,FALSE)</f>
        <v>0</v>
      </c>
      <c r="T195" s="33">
        <f>VLOOKUP(обед6,таб,32,FALSE)</f>
        <v>0</v>
      </c>
      <c r="U195" s="33">
        <f>VLOOKUP(обед7,таб,32,FALSE)</f>
        <v>0</v>
      </c>
      <c r="V195" s="87">
        <f>VLOOKUP(обед8,таб,32,FALSE)</f>
        <v>0</v>
      </c>
      <c r="W195" s="34">
        <f>VLOOKUP(полдник1,таб,32,FALSE)</f>
        <v>0</v>
      </c>
      <c r="X195" s="33"/>
      <c r="Y195" s="87">
        <f>VLOOKUP(полдник3,таб,32,FALSE)</f>
        <v>0</v>
      </c>
      <c r="Z195" s="34">
        <f>VLOOKUP(ужин1,таб,32,FALSE)</f>
        <v>0</v>
      </c>
      <c r="AA195" s="33">
        <f>VLOOKUP(ужин2,таб,32,FALSE)</f>
        <v>0</v>
      </c>
      <c r="AB195" s="33">
        <f>VLOOKUP(ужин3,таб,32,FALSE)</f>
        <v>0</v>
      </c>
      <c r="AC195" s="33">
        <f>VLOOKUP(ужин4,таб,32,FALSE)</f>
        <v>0</v>
      </c>
      <c r="AD195" s="33">
        <f>VLOOKUP(ужин5,таб,32,FALSE)</f>
        <v>0</v>
      </c>
      <c r="AE195" s="33">
        <f>VLOOKUP(ужин6,таб,32,FALSE)</f>
        <v>0</v>
      </c>
      <c r="AF195" s="33">
        <f>VLOOKUP(ужин7,таб,32,FALSE)</f>
        <v>0</v>
      </c>
      <c r="AG195" s="87">
        <f>VLOOKUP(ужин8,таб,32,FALSE)</f>
        <v>0</v>
      </c>
      <c r="AH195" s="253"/>
      <c r="AI195" s="139">
        <f>AK195/сред</f>
        <v>0</v>
      </c>
      <c r="AJ195" s="140"/>
      <c r="AK195" s="143">
        <f>SUM(G196:AG196)</f>
        <v>0</v>
      </c>
      <c r="AL195" s="143"/>
      <c r="AM195" s="131">
        <f>IF(AK195=0,0,Таблиця!AG267)</f>
        <v>0</v>
      </c>
      <c r="AN195" s="129">
        <f>AK195*AM195</f>
        <v>0</v>
      </c>
      <c r="AO195" s="16"/>
      <c r="AQ195" s="102"/>
      <c r="AR195">
        <v>195</v>
      </c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DE195" s="54"/>
    </row>
    <row r="196" spans="1:109" ht="30.75" customHeight="1" hidden="1">
      <c r="A196" s="136"/>
      <c r="B196" s="137"/>
      <c r="C196" s="137"/>
      <c r="D196" s="137"/>
      <c r="E196" s="138"/>
      <c r="F196" s="107" t="s">
        <v>96</v>
      </c>
      <c r="G196" s="75">
        <f aca="true" t="shared" si="240" ref="G196:AG196">IF(G195=0,"",завтракл*G195/1000)</f>
      </c>
      <c r="H196" s="23">
        <f t="shared" si="240"/>
      </c>
      <c r="I196" s="23"/>
      <c r="J196" s="23">
        <f t="shared" si="240"/>
      </c>
      <c r="K196" s="23">
        <f t="shared" si="240"/>
      </c>
      <c r="L196" s="122">
        <f t="shared" si="240"/>
      </c>
      <c r="M196" s="75">
        <f t="shared" si="240"/>
      </c>
      <c r="N196" s="83">
        <f t="shared" si="240"/>
      </c>
      <c r="O196" s="75">
        <f t="shared" si="240"/>
      </c>
      <c r="P196" s="23">
        <f t="shared" si="240"/>
      </c>
      <c r="Q196" s="23">
        <f t="shared" si="240"/>
      </c>
      <c r="R196" s="23">
        <f t="shared" si="240"/>
      </c>
      <c r="S196" s="23">
        <f t="shared" si="240"/>
      </c>
      <c r="T196" s="23">
        <f t="shared" si="240"/>
      </c>
      <c r="U196" s="23">
        <f t="shared" si="240"/>
      </c>
      <c r="V196" s="83">
        <f t="shared" si="240"/>
      </c>
      <c r="W196" s="25">
        <f t="shared" si="240"/>
      </c>
      <c r="X196" s="23"/>
      <c r="Y196" s="83">
        <f t="shared" si="240"/>
      </c>
      <c r="Z196" s="25">
        <f t="shared" si="240"/>
      </c>
      <c r="AA196" s="23">
        <f t="shared" si="240"/>
      </c>
      <c r="AB196" s="23">
        <f t="shared" si="240"/>
      </c>
      <c r="AC196" s="23">
        <f t="shared" si="240"/>
      </c>
      <c r="AD196" s="23">
        <f t="shared" si="240"/>
      </c>
      <c r="AE196" s="23">
        <f t="shared" si="240"/>
      </c>
      <c r="AF196" s="23">
        <f t="shared" si="240"/>
      </c>
      <c r="AG196" s="83">
        <f t="shared" si="240"/>
      </c>
      <c r="AH196" s="254"/>
      <c r="AI196" s="139"/>
      <c r="AJ196" s="140"/>
      <c r="AK196" s="143"/>
      <c r="AL196" s="143"/>
      <c r="AM196" s="132"/>
      <c r="AN196" s="130"/>
      <c r="AO196" s="16"/>
      <c r="AQ196" s="102"/>
      <c r="AR196">
        <v>196</v>
      </c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DE196" s="54"/>
    </row>
    <row r="197" spans="1:166" ht="30.75" customHeight="1" hidden="1">
      <c r="A197" s="133" t="s">
        <v>436</v>
      </c>
      <c r="B197" s="134"/>
      <c r="C197" s="134"/>
      <c r="D197" s="134"/>
      <c r="E197" s="135"/>
      <c r="F197" s="106" t="s">
        <v>95</v>
      </c>
      <c r="G197" s="71">
        <f>VLOOKUP(завтрак1,таб,34,FALSE)</f>
        <v>0</v>
      </c>
      <c r="H197" s="26">
        <f>VLOOKUP(завтрак2,таб,34,FALSE)</f>
        <v>0</v>
      </c>
      <c r="I197" s="26"/>
      <c r="J197" s="26">
        <f>VLOOKUP(завтрак4,таб,34,FALSE)</f>
        <v>0</v>
      </c>
      <c r="K197" s="26">
        <f>VLOOKUP(завтрак5,таб,34,FALSE)</f>
        <v>0</v>
      </c>
      <c r="L197" s="116">
        <f>VLOOKUP(завтрак6,таб,34,FALSE)</f>
        <v>0</v>
      </c>
      <c r="M197" s="71">
        <f>VLOOKUP(завтрак7,таб,34,FALSE)</f>
        <v>0</v>
      </c>
      <c r="N197" s="81">
        <f>VLOOKUP(завтрак8,таб,34,FALSE)</f>
        <v>0</v>
      </c>
      <c r="O197" s="34">
        <f>VLOOKUP(обед1,таб,34,FALSE)</f>
        <v>0</v>
      </c>
      <c r="P197" s="33">
        <f>VLOOKUP(обед2,таб,34,FALSE)</f>
        <v>0</v>
      </c>
      <c r="Q197" s="33">
        <f>VLOOKUP(обед3,таб,34,FALSE)</f>
        <v>0</v>
      </c>
      <c r="R197" s="33">
        <f>VLOOKUP(обед4,таб,34,FALSE)</f>
        <v>0</v>
      </c>
      <c r="S197" s="33">
        <f>VLOOKUP(обед5,таб,34,FALSE)</f>
        <v>0</v>
      </c>
      <c r="T197" s="33">
        <f>VLOOKUP(обед6,таб,34,FALSE)</f>
        <v>0</v>
      </c>
      <c r="U197" s="33">
        <f>VLOOKUP(обед7,таб,34,FALSE)</f>
        <v>0</v>
      </c>
      <c r="V197" s="87">
        <f>VLOOKUP(обед8,таб,34,FALSE)</f>
        <v>0</v>
      </c>
      <c r="W197" s="34">
        <f>VLOOKUP(полдник1,таб,34,FALSE)</f>
        <v>0</v>
      </c>
      <c r="X197" s="33"/>
      <c r="Y197" s="87">
        <f>VLOOKUP(полдник3,таб,34,FALSE)</f>
        <v>0</v>
      </c>
      <c r="Z197" s="34">
        <f>VLOOKUP(ужин1,таб,34,FALSE)</f>
        <v>0</v>
      </c>
      <c r="AA197" s="33">
        <f>VLOOKUP(ужин2,таб,34,FALSE)</f>
        <v>0</v>
      </c>
      <c r="AB197" s="33">
        <f>VLOOKUP(ужин3,таб,34,FALSE)</f>
        <v>0</v>
      </c>
      <c r="AC197" s="33">
        <f>VLOOKUP(ужин4,таб,34,FALSE)</f>
        <v>0</v>
      </c>
      <c r="AD197" s="33">
        <f>VLOOKUP(ужин5,таб,34,FALSE)</f>
        <v>0</v>
      </c>
      <c r="AE197" s="33">
        <f>VLOOKUP(ужин6,таб,34,FALSE)</f>
        <v>0</v>
      </c>
      <c r="AF197" s="33">
        <f>VLOOKUP(ужин7,таб,34,FALSE)</f>
        <v>0</v>
      </c>
      <c r="AG197" s="87">
        <f>VLOOKUP(ужин8,таб,34,FALSE)</f>
        <v>0</v>
      </c>
      <c r="AH197" s="253"/>
      <c r="AI197" s="139">
        <f>AK197/сред</f>
        <v>0</v>
      </c>
      <c r="AJ197" s="140"/>
      <c r="AK197" s="143">
        <f>SUM(G198:AG198)</f>
        <v>0</v>
      </c>
      <c r="AL197" s="143"/>
      <c r="AM197" s="131">
        <f>IF(AK197=0,0,Таблиця!AI267)</f>
        <v>0</v>
      </c>
      <c r="AN197" s="129">
        <f>AK197*AM197</f>
        <v>0</v>
      </c>
      <c r="AO197" s="16"/>
      <c r="AQ197" s="102"/>
      <c r="AR197">
        <v>197</v>
      </c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DE197" s="54"/>
      <c r="FJ197">
        <v>3.2</v>
      </c>
    </row>
    <row r="198" spans="1:109" ht="30.75" customHeight="1" hidden="1">
      <c r="A198" s="136"/>
      <c r="B198" s="137"/>
      <c r="C198" s="137"/>
      <c r="D198" s="137"/>
      <c r="E198" s="138"/>
      <c r="F198" s="107" t="s">
        <v>96</v>
      </c>
      <c r="G198" s="75">
        <f aca="true" t="shared" si="241" ref="G198:AG198">IF(G197=0,"",завтракл*G197/1000)</f>
      </c>
      <c r="H198" s="23">
        <f t="shared" si="241"/>
      </c>
      <c r="I198" s="23"/>
      <c r="J198" s="23">
        <f t="shared" si="241"/>
      </c>
      <c r="K198" s="23">
        <f t="shared" si="241"/>
      </c>
      <c r="L198" s="122">
        <f t="shared" si="241"/>
      </c>
      <c r="M198" s="75">
        <f t="shared" si="241"/>
      </c>
      <c r="N198" s="83">
        <f t="shared" si="241"/>
      </c>
      <c r="O198" s="75">
        <f t="shared" si="241"/>
      </c>
      <c r="P198" s="23">
        <f t="shared" si="241"/>
      </c>
      <c r="Q198" s="23">
        <f t="shared" si="241"/>
      </c>
      <c r="R198" s="23">
        <f t="shared" si="241"/>
      </c>
      <c r="S198" s="23">
        <f t="shared" si="241"/>
      </c>
      <c r="T198" s="23">
        <f t="shared" si="241"/>
      </c>
      <c r="U198" s="23">
        <f t="shared" si="241"/>
      </c>
      <c r="V198" s="83">
        <f t="shared" si="241"/>
      </c>
      <c r="W198" s="25">
        <f t="shared" si="241"/>
      </c>
      <c r="X198" s="23"/>
      <c r="Y198" s="83">
        <f t="shared" si="241"/>
      </c>
      <c r="Z198" s="25">
        <f t="shared" si="241"/>
      </c>
      <c r="AA198" s="23">
        <f t="shared" si="241"/>
      </c>
      <c r="AB198" s="23">
        <f t="shared" si="241"/>
      </c>
      <c r="AC198" s="23">
        <f t="shared" si="241"/>
      </c>
      <c r="AD198" s="23">
        <f t="shared" si="241"/>
      </c>
      <c r="AE198" s="23">
        <f t="shared" si="241"/>
      </c>
      <c r="AF198" s="23">
        <f t="shared" si="241"/>
      </c>
      <c r="AG198" s="83">
        <f t="shared" si="241"/>
      </c>
      <c r="AH198" s="254"/>
      <c r="AI198" s="139"/>
      <c r="AJ198" s="140"/>
      <c r="AK198" s="143"/>
      <c r="AL198" s="143"/>
      <c r="AM198" s="132"/>
      <c r="AN198" s="130"/>
      <c r="AO198" s="16"/>
      <c r="AQ198" s="102"/>
      <c r="AR198">
        <v>198</v>
      </c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DE198" s="54"/>
    </row>
    <row r="199" spans="1:109" ht="30.75" customHeight="1" hidden="1">
      <c r="A199" s="133" t="s">
        <v>437</v>
      </c>
      <c r="B199" s="134"/>
      <c r="C199" s="134"/>
      <c r="D199" s="134"/>
      <c r="E199" s="135"/>
      <c r="F199" s="106" t="s">
        <v>95</v>
      </c>
      <c r="G199" s="71">
        <f>VLOOKUP(завтрак1,таб,36,FALSE)</f>
        <v>0</v>
      </c>
      <c r="H199" s="26">
        <f>VLOOKUP(завтрак2,таб,36,FALSE)</f>
        <v>0</v>
      </c>
      <c r="I199" s="26"/>
      <c r="J199" s="26">
        <f>VLOOKUP(завтрак4,таб,36,FALSE)</f>
        <v>0</v>
      </c>
      <c r="K199" s="26">
        <f>VLOOKUP(завтрак5,таб,36,FALSE)</f>
        <v>0</v>
      </c>
      <c r="L199" s="116">
        <f>VLOOKUP(завтрак6,таб,36,FALSE)</f>
        <v>0</v>
      </c>
      <c r="M199" s="71">
        <f>VLOOKUP(завтрак7,таб,36,FALSE)</f>
        <v>0</v>
      </c>
      <c r="N199" s="81">
        <f>VLOOKUP(завтрак8,таб,36,FALSE)</f>
        <v>0</v>
      </c>
      <c r="O199" s="34">
        <f>VLOOKUP(обед1,таб,36,FALSE)</f>
        <v>0</v>
      </c>
      <c r="P199" s="33">
        <f>VLOOKUP(обед2,таб,36,FALSE)</f>
        <v>0</v>
      </c>
      <c r="Q199" s="33">
        <f>VLOOKUP(обед3,таб,36,FALSE)</f>
        <v>0</v>
      </c>
      <c r="R199" s="33">
        <f>VLOOKUP(обед4,таб,36,FALSE)</f>
        <v>0</v>
      </c>
      <c r="S199" s="33">
        <f>VLOOKUP(обед5,таб,36,FALSE)</f>
        <v>0</v>
      </c>
      <c r="T199" s="33">
        <f>VLOOKUP(обед6,таб,36,FALSE)</f>
        <v>0</v>
      </c>
      <c r="U199" s="33">
        <f>VLOOKUP(обед7,таб,36,FALSE)</f>
        <v>0</v>
      </c>
      <c r="V199" s="87">
        <f>VLOOKUP(обед8,таб,36,FALSE)</f>
        <v>0</v>
      </c>
      <c r="W199" s="34">
        <f>VLOOKUP(полдник1,таб,36,FALSE)</f>
        <v>0</v>
      </c>
      <c r="X199" s="33"/>
      <c r="Y199" s="87">
        <f>VLOOKUP(полдник3,таб,36,FALSE)</f>
        <v>0</v>
      </c>
      <c r="Z199" s="34">
        <f>VLOOKUP(ужин1,таб,36,FALSE)</f>
        <v>0</v>
      </c>
      <c r="AA199" s="33">
        <f>VLOOKUP(ужин2,таб,36,FALSE)</f>
        <v>0</v>
      </c>
      <c r="AB199" s="33">
        <f>VLOOKUP(ужин3,таб,36,FALSE)</f>
        <v>0</v>
      </c>
      <c r="AC199" s="33">
        <f>VLOOKUP(ужин4,таб,36,FALSE)</f>
        <v>0</v>
      </c>
      <c r="AD199" s="33">
        <f>VLOOKUP(ужин5,таб,36,FALSE)</f>
        <v>0</v>
      </c>
      <c r="AE199" s="33">
        <f>VLOOKUP(ужин6,таб,36,FALSE)</f>
        <v>0</v>
      </c>
      <c r="AF199" s="33">
        <f>VLOOKUP(ужин7,таб,36,FALSE)</f>
        <v>0</v>
      </c>
      <c r="AG199" s="87">
        <f>VLOOKUP(ужин8,таб,36,FALSE)</f>
        <v>0</v>
      </c>
      <c r="AH199" s="253"/>
      <c r="AI199" s="139">
        <f>AK199/сред</f>
        <v>0</v>
      </c>
      <c r="AJ199" s="140"/>
      <c r="AK199" s="143">
        <f>SUM(G200:AG200)</f>
        <v>0</v>
      </c>
      <c r="AL199" s="143"/>
      <c r="AM199" s="131">
        <f>IF(AK199=0,0,Таблиця!AK267)</f>
        <v>0</v>
      </c>
      <c r="AN199" s="129">
        <f>AK199*AM199</f>
        <v>0</v>
      </c>
      <c r="AO199" s="16"/>
      <c r="AQ199" s="102"/>
      <c r="AR199">
        <v>199</v>
      </c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DE199" s="54"/>
    </row>
    <row r="200" spans="1:109" ht="30.75" customHeight="1" hidden="1">
      <c r="A200" s="136"/>
      <c r="B200" s="137"/>
      <c r="C200" s="137"/>
      <c r="D200" s="137"/>
      <c r="E200" s="138"/>
      <c r="F200" s="107" t="s">
        <v>96</v>
      </c>
      <c r="G200" s="75">
        <f aca="true" t="shared" si="242" ref="G200:AG200">IF(G199=0,"",завтракл*G199/1000)</f>
      </c>
      <c r="H200" s="23">
        <f t="shared" si="242"/>
      </c>
      <c r="I200" s="23"/>
      <c r="J200" s="23">
        <f t="shared" si="242"/>
      </c>
      <c r="K200" s="23">
        <f t="shared" si="242"/>
      </c>
      <c r="L200" s="122">
        <f t="shared" si="242"/>
      </c>
      <c r="M200" s="75">
        <f t="shared" si="242"/>
      </c>
      <c r="N200" s="83">
        <f t="shared" si="242"/>
      </c>
      <c r="O200" s="75">
        <f t="shared" si="242"/>
      </c>
      <c r="P200" s="23">
        <f t="shared" si="242"/>
      </c>
      <c r="Q200" s="23">
        <f t="shared" si="242"/>
      </c>
      <c r="R200" s="23">
        <f t="shared" si="242"/>
      </c>
      <c r="S200" s="23">
        <f t="shared" si="242"/>
      </c>
      <c r="T200" s="23">
        <f t="shared" si="242"/>
      </c>
      <c r="U200" s="23">
        <f t="shared" si="242"/>
      </c>
      <c r="V200" s="83">
        <f t="shared" si="242"/>
      </c>
      <c r="W200" s="25">
        <f t="shared" si="242"/>
      </c>
      <c r="X200" s="23"/>
      <c r="Y200" s="83">
        <f t="shared" si="242"/>
      </c>
      <c r="Z200" s="25">
        <f t="shared" si="242"/>
      </c>
      <c r="AA200" s="23">
        <f t="shared" si="242"/>
      </c>
      <c r="AB200" s="23">
        <f t="shared" si="242"/>
      </c>
      <c r="AC200" s="23">
        <f t="shared" si="242"/>
      </c>
      <c r="AD200" s="23">
        <f t="shared" si="242"/>
      </c>
      <c r="AE200" s="23">
        <f t="shared" si="242"/>
      </c>
      <c r="AF200" s="23">
        <f t="shared" si="242"/>
      </c>
      <c r="AG200" s="83">
        <f t="shared" si="242"/>
      </c>
      <c r="AH200" s="254"/>
      <c r="AI200" s="139"/>
      <c r="AJ200" s="140"/>
      <c r="AK200" s="143"/>
      <c r="AL200" s="143"/>
      <c r="AM200" s="132"/>
      <c r="AN200" s="130"/>
      <c r="AO200" s="16"/>
      <c r="AQ200" s="102"/>
      <c r="AR200">
        <v>200</v>
      </c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DE200" s="54"/>
    </row>
    <row r="201" spans="1:109" ht="30.75" customHeight="1" hidden="1">
      <c r="A201" s="133" t="s">
        <v>438</v>
      </c>
      <c r="B201" s="134"/>
      <c r="C201" s="134"/>
      <c r="D201" s="134"/>
      <c r="E201" s="135"/>
      <c r="F201" s="106" t="s">
        <v>95</v>
      </c>
      <c r="G201" s="71">
        <f>VLOOKUP(завтрак1,таб,37,FALSE)</f>
        <v>0</v>
      </c>
      <c r="H201" s="26">
        <f>VLOOKUP(завтрак2,таб,37,FALSE)</f>
        <v>0</v>
      </c>
      <c r="I201" s="26"/>
      <c r="J201" s="26">
        <f>VLOOKUP(завтрак4,таб,37,FALSE)</f>
        <v>0</v>
      </c>
      <c r="K201" s="26">
        <f>VLOOKUP(завтрак5,таб,37,FALSE)</f>
        <v>0</v>
      </c>
      <c r="L201" s="116">
        <f>VLOOKUP(завтрак6,таб,37,FALSE)</f>
        <v>0</v>
      </c>
      <c r="M201" s="71">
        <f>VLOOKUP(завтрак7,таб,37,FALSE)</f>
        <v>0</v>
      </c>
      <c r="N201" s="81">
        <f>VLOOKUP(завтрак8,таб,37,FALSE)</f>
        <v>0</v>
      </c>
      <c r="O201" s="34">
        <f>VLOOKUP(обед1,таб,37,FALSE)</f>
        <v>0</v>
      </c>
      <c r="P201" s="33">
        <f>VLOOKUP(обед2,таб,37,FALSE)</f>
        <v>0</v>
      </c>
      <c r="Q201" s="33">
        <f>VLOOKUP(обед3,таб,37,FALSE)</f>
        <v>0</v>
      </c>
      <c r="R201" s="33">
        <f>VLOOKUP(обед4,таб,37,FALSE)</f>
        <v>0</v>
      </c>
      <c r="S201" s="33">
        <f>VLOOKUP(обед5,таб,37,FALSE)</f>
        <v>0</v>
      </c>
      <c r="T201" s="33">
        <f>VLOOKUP(обед6,таб,37,FALSE)</f>
        <v>0</v>
      </c>
      <c r="U201" s="33">
        <f>VLOOKUP(обед7,таб,37,FALSE)</f>
        <v>0</v>
      </c>
      <c r="V201" s="87">
        <f>VLOOKUP(обед8,таб,37,FALSE)</f>
        <v>0</v>
      </c>
      <c r="W201" s="34">
        <f>VLOOKUP(полдник1,таб,37,FALSE)</f>
        <v>0</v>
      </c>
      <c r="X201" s="33"/>
      <c r="Y201" s="87">
        <f>VLOOKUP(полдник3,таб,37,FALSE)</f>
        <v>0</v>
      </c>
      <c r="Z201" s="34">
        <f>VLOOKUP(ужин1,таб,37,FALSE)</f>
        <v>0</v>
      </c>
      <c r="AA201" s="33">
        <f>VLOOKUP(ужин2,таб,37,FALSE)</f>
        <v>0</v>
      </c>
      <c r="AB201" s="33">
        <f>VLOOKUP(ужин3,таб,37,FALSE)</f>
        <v>0</v>
      </c>
      <c r="AC201" s="33">
        <f>VLOOKUP(ужин4,таб,37,FALSE)</f>
        <v>0</v>
      </c>
      <c r="AD201" s="33">
        <f>VLOOKUP(ужин5,таб,37,FALSE)</f>
        <v>0</v>
      </c>
      <c r="AE201" s="33">
        <f>VLOOKUP(ужин6,таб,37,FALSE)</f>
        <v>0</v>
      </c>
      <c r="AF201" s="33">
        <f>VLOOKUP(ужин7,таб,37,FALSE)</f>
        <v>0</v>
      </c>
      <c r="AG201" s="87">
        <f>VLOOKUP(ужин8,таб,37,FALSE)</f>
        <v>0</v>
      </c>
      <c r="AH201" s="253"/>
      <c r="AI201" s="139">
        <f>AK201/сред</f>
        <v>0</v>
      </c>
      <c r="AJ201" s="140"/>
      <c r="AK201" s="143">
        <f>SUM(G202:AG202)</f>
        <v>0</v>
      </c>
      <c r="AL201" s="143"/>
      <c r="AM201" s="131">
        <f>IF(AK201=0,0,Таблиця!AL267)</f>
        <v>0</v>
      </c>
      <c r="AN201" s="129">
        <f>AK201*AM201</f>
        <v>0</v>
      </c>
      <c r="AO201" s="16"/>
      <c r="AQ201" s="102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DE201" s="54"/>
    </row>
    <row r="202" spans="1:109" ht="30.75" customHeight="1" hidden="1">
      <c r="A202" s="136"/>
      <c r="B202" s="137"/>
      <c r="C202" s="137"/>
      <c r="D202" s="137"/>
      <c r="E202" s="138"/>
      <c r="F202" s="107" t="s">
        <v>96</v>
      </c>
      <c r="G202" s="75">
        <f aca="true" t="shared" si="243" ref="G202:AG202">IF(G201=0,"",завтракл*G201/1000)</f>
      </c>
      <c r="H202" s="23">
        <f t="shared" si="243"/>
      </c>
      <c r="I202" s="23"/>
      <c r="J202" s="23">
        <f t="shared" si="243"/>
      </c>
      <c r="K202" s="23">
        <f t="shared" si="243"/>
      </c>
      <c r="L202" s="122">
        <f t="shared" si="243"/>
      </c>
      <c r="M202" s="75">
        <f t="shared" si="243"/>
      </c>
      <c r="N202" s="83">
        <f t="shared" si="243"/>
      </c>
      <c r="O202" s="75">
        <f t="shared" si="243"/>
      </c>
      <c r="P202" s="23">
        <f t="shared" si="243"/>
      </c>
      <c r="Q202" s="23">
        <f t="shared" si="243"/>
      </c>
      <c r="R202" s="23">
        <f t="shared" si="243"/>
      </c>
      <c r="S202" s="23">
        <f t="shared" si="243"/>
      </c>
      <c r="T202" s="23">
        <f t="shared" si="243"/>
      </c>
      <c r="U202" s="23">
        <f t="shared" si="243"/>
      </c>
      <c r="V202" s="83">
        <f t="shared" si="243"/>
      </c>
      <c r="W202" s="25">
        <f t="shared" si="243"/>
      </c>
      <c r="X202" s="23"/>
      <c r="Y202" s="83">
        <f t="shared" si="243"/>
      </c>
      <c r="Z202" s="25">
        <f t="shared" si="243"/>
      </c>
      <c r="AA202" s="23">
        <f t="shared" si="243"/>
      </c>
      <c r="AB202" s="23">
        <f t="shared" si="243"/>
      </c>
      <c r="AC202" s="23">
        <f t="shared" si="243"/>
      </c>
      <c r="AD202" s="23">
        <f t="shared" si="243"/>
      </c>
      <c r="AE202" s="23">
        <f t="shared" si="243"/>
      </c>
      <c r="AF202" s="23">
        <f t="shared" si="243"/>
      </c>
      <c r="AG202" s="83">
        <f t="shared" si="243"/>
      </c>
      <c r="AH202" s="254"/>
      <c r="AI202" s="139"/>
      <c r="AJ202" s="140"/>
      <c r="AK202" s="143"/>
      <c r="AL202" s="143"/>
      <c r="AM202" s="132"/>
      <c r="AN202" s="130"/>
      <c r="AO202" s="16"/>
      <c r="AP202" s="16"/>
      <c r="AQ202" s="102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DE202" s="54"/>
    </row>
    <row r="203" spans="1:109" ht="30.75" customHeight="1" hidden="1">
      <c r="A203" s="133" t="s">
        <v>441</v>
      </c>
      <c r="B203" s="134"/>
      <c r="C203" s="134"/>
      <c r="D203" s="134"/>
      <c r="E203" s="135"/>
      <c r="F203" s="106" t="s">
        <v>95</v>
      </c>
      <c r="G203" s="71">
        <f>VLOOKUP(завтрак1,таб,58,FALSE)</f>
        <v>0</v>
      </c>
      <c r="H203" s="26">
        <f>VLOOKUP(завтрак2,таб,58,FALSE)</f>
        <v>0</v>
      </c>
      <c r="I203" s="26"/>
      <c r="J203" s="26">
        <f>VLOOKUP(завтрак4,таб,58,FALSE)</f>
        <v>0</v>
      </c>
      <c r="K203" s="26">
        <f>VLOOKUP(завтрак5,таб,58,FALSE)</f>
        <v>0</v>
      </c>
      <c r="L203" s="116">
        <f>VLOOKUP(завтрак6,таб,58,FALSE)</f>
        <v>0</v>
      </c>
      <c r="M203" s="71">
        <f>VLOOKUP(завтрак7,таб,58,FALSE)</f>
        <v>0</v>
      </c>
      <c r="N203" s="81">
        <f>VLOOKUP(завтрак8,таб,58,FALSE)</f>
        <v>0</v>
      </c>
      <c r="O203" s="34">
        <f>VLOOKUP(обед1,таб,58,FALSE)</f>
        <v>0</v>
      </c>
      <c r="P203" s="33">
        <f>VLOOKUP(обед2,таб,58,FALSE)</f>
        <v>0</v>
      </c>
      <c r="Q203" s="33">
        <f>VLOOKUP(обед3,таб,58,FALSE)</f>
        <v>0</v>
      </c>
      <c r="R203" s="33">
        <f>VLOOKUP(обед4,таб,58,FALSE)</f>
        <v>0</v>
      </c>
      <c r="S203" s="33">
        <f>VLOOKUP(обед5,таб,58,FALSE)</f>
        <v>0</v>
      </c>
      <c r="T203" s="33">
        <f>VLOOKUP(обед6,таб,58,FALSE)</f>
        <v>0</v>
      </c>
      <c r="U203" s="33">
        <f>VLOOKUP(обед7,таб,58,FALSE)</f>
        <v>0</v>
      </c>
      <c r="V203" s="87">
        <f>VLOOKUP(обед8,таб,58,FALSE)</f>
        <v>0</v>
      </c>
      <c r="W203" s="34">
        <f>VLOOKUP(полдник1,таб,58,FALSE)</f>
        <v>0</v>
      </c>
      <c r="X203" s="33"/>
      <c r="Y203" s="87">
        <f>VLOOKUP(полдник3,таб,58,FALSE)</f>
        <v>0</v>
      </c>
      <c r="Z203" s="34">
        <f>VLOOKUP(ужин1,таб,58,FALSE)</f>
        <v>0</v>
      </c>
      <c r="AA203" s="33">
        <f>VLOOKUP(ужин2,таб,58,FALSE)</f>
        <v>0</v>
      </c>
      <c r="AB203" s="33">
        <f>VLOOKUP(ужин3,таб,58,FALSE)</f>
        <v>0</v>
      </c>
      <c r="AC203" s="33">
        <f>VLOOKUP(ужин4,таб,58,FALSE)</f>
        <v>0</v>
      </c>
      <c r="AD203" s="33">
        <f>VLOOKUP(ужин5,таб,58,FALSE)</f>
        <v>0</v>
      </c>
      <c r="AE203" s="33">
        <f>VLOOKUP(ужин6,таб,58,FALSE)</f>
        <v>0</v>
      </c>
      <c r="AF203" s="33">
        <f>VLOOKUP(ужин7,таб,58,FALSE)</f>
        <v>0</v>
      </c>
      <c r="AG203" s="87">
        <f>VLOOKUP(ужин8,таб,58,FALSE)</f>
        <v>0</v>
      </c>
      <c r="AH203" s="253"/>
      <c r="AI203" s="139">
        <f>AK203/сред</f>
        <v>0</v>
      </c>
      <c r="AJ203" s="140"/>
      <c r="AK203" s="143">
        <f>SUM(G204:AG204)</f>
        <v>0</v>
      </c>
      <c r="AL203" s="143"/>
      <c r="AM203" s="131">
        <f>IF(AK203=0,0,Таблиця!BG267)</f>
        <v>0</v>
      </c>
      <c r="AN203" s="129">
        <f>AK203*AM203</f>
        <v>0</v>
      </c>
      <c r="AO203" s="16"/>
      <c r="AP203" s="16"/>
      <c r="AQ203" s="102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DE203" s="54"/>
    </row>
    <row r="204" spans="1:109" ht="30.75" customHeight="1" hidden="1">
      <c r="A204" s="136"/>
      <c r="B204" s="137"/>
      <c r="C204" s="137"/>
      <c r="D204" s="137"/>
      <c r="E204" s="138"/>
      <c r="F204" s="107" t="s">
        <v>96</v>
      </c>
      <c r="G204" s="75">
        <f aca="true" t="shared" si="244" ref="G204:AG204">IF(G203=0,"",завтракл*G203/1000)</f>
      </c>
      <c r="H204" s="23">
        <f t="shared" si="244"/>
      </c>
      <c r="I204" s="23"/>
      <c r="J204" s="23">
        <f t="shared" si="244"/>
      </c>
      <c r="K204" s="23">
        <f t="shared" si="244"/>
      </c>
      <c r="L204" s="122">
        <f t="shared" si="244"/>
      </c>
      <c r="M204" s="75">
        <f t="shared" si="244"/>
      </c>
      <c r="N204" s="83">
        <f t="shared" si="244"/>
      </c>
      <c r="O204" s="75">
        <f t="shared" si="244"/>
      </c>
      <c r="P204" s="23">
        <f t="shared" si="244"/>
      </c>
      <c r="Q204" s="23">
        <f t="shared" si="244"/>
      </c>
      <c r="R204" s="23">
        <f t="shared" si="244"/>
      </c>
      <c r="S204" s="23">
        <f t="shared" si="244"/>
      </c>
      <c r="T204" s="23">
        <f t="shared" si="244"/>
      </c>
      <c r="U204" s="23">
        <f t="shared" si="244"/>
      </c>
      <c r="V204" s="83">
        <f t="shared" si="244"/>
      </c>
      <c r="W204" s="25">
        <f t="shared" si="244"/>
      </c>
      <c r="X204" s="23"/>
      <c r="Y204" s="83">
        <f t="shared" si="244"/>
      </c>
      <c r="Z204" s="25">
        <f t="shared" si="244"/>
      </c>
      <c r="AA204" s="23">
        <f t="shared" si="244"/>
      </c>
      <c r="AB204" s="23">
        <f t="shared" si="244"/>
      </c>
      <c r="AC204" s="23">
        <f t="shared" si="244"/>
      </c>
      <c r="AD204" s="23">
        <f t="shared" si="244"/>
      </c>
      <c r="AE204" s="23">
        <f t="shared" si="244"/>
      </c>
      <c r="AF204" s="23">
        <f t="shared" si="244"/>
      </c>
      <c r="AG204" s="83">
        <f t="shared" si="244"/>
      </c>
      <c r="AH204" s="254"/>
      <c r="AI204" s="139"/>
      <c r="AJ204" s="140"/>
      <c r="AK204" s="143"/>
      <c r="AL204" s="143"/>
      <c r="AM204" s="132"/>
      <c r="AN204" s="130"/>
      <c r="AO204" s="16"/>
      <c r="AP204" s="16"/>
      <c r="AQ204" s="102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DE204" s="54"/>
    </row>
    <row r="205" spans="1:109" ht="30.75" customHeight="1" hidden="1">
      <c r="A205" s="133" t="s">
        <v>444</v>
      </c>
      <c r="B205" s="134"/>
      <c r="C205" s="134"/>
      <c r="D205" s="134"/>
      <c r="E205" s="135"/>
      <c r="F205" s="106" t="s">
        <v>95</v>
      </c>
      <c r="G205" s="71">
        <f>VLOOKUP(завтрак1,таб,76,FALSE)</f>
        <v>0</v>
      </c>
      <c r="H205" s="26">
        <f>VLOOKUP(завтрак2,таб,76,FALSE)</f>
        <v>0</v>
      </c>
      <c r="I205" s="26"/>
      <c r="J205" s="26">
        <f>VLOOKUP(завтрак4,таб,76,FALSE)</f>
        <v>0</v>
      </c>
      <c r="K205" s="26">
        <f>VLOOKUP(завтрак5,таб,76,FALSE)</f>
        <v>0</v>
      </c>
      <c r="L205" s="116">
        <f>VLOOKUP(завтрак6,таб,76,FALSE)</f>
        <v>0</v>
      </c>
      <c r="M205" s="71">
        <f>VLOOKUP(завтрак7,таб,76,FALSE)</f>
        <v>0</v>
      </c>
      <c r="N205" s="81">
        <f>VLOOKUP(завтрак8,таб,76,FALSE)</f>
        <v>0</v>
      </c>
      <c r="O205" s="34">
        <f>VLOOKUP(обед1,таб,76,FALSE)</f>
        <v>0</v>
      </c>
      <c r="P205" s="33">
        <f>VLOOKUP(обед2,таб,76,FALSE)</f>
        <v>0</v>
      </c>
      <c r="Q205" s="33">
        <f>VLOOKUP(обед3,таб,76,FALSE)</f>
        <v>0</v>
      </c>
      <c r="R205" s="33">
        <f>VLOOKUP(обед4,таб,76,FALSE)</f>
        <v>0</v>
      </c>
      <c r="S205" s="33">
        <f>VLOOKUP(обед5,таб,76,FALSE)</f>
        <v>0</v>
      </c>
      <c r="T205" s="33">
        <f>VLOOKUP(обед6,таб,76,FALSE)</f>
        <v>0</v>
      </c>
      <c r="U205" s="33">
        <f>VLOOKUP(обед7,таб,76,FALSE)</f>
        <v>0</v>
      </c>
      <c r="V205" s="87">
        <f>VLOOKUP(обед8,таб,76,FALSE)</f>
        <v>0</v>
      </c>
      <c r="W205" s="34">
        <f>VLOOKUP(полдник1,таб,76,FALSE)</f>
        <v>0</v>
      </c>
      <c r="X205" s="33"/>
      <c r="Y205" s="87">
        <f>VLOOKUP(полдник3,таб,76,FALSE)</f>
        <v>0</v>
      </c>
      <c r="Z205" s="34">
        <f>VLOOKUP(ужин1,таб,76,FALSE)</f>
        <v>0</v>
      </c>
      <c r="AA205" s="33">
        <f>VLOOKUP(ужин2,таб,76,FALSE)</f>
        <v>0</v>
      </c>
      <c r="AB205" s="33">
        <f>VLOOKUP(ужин3,таб,76,FALSE)</f>
        <v>0</v>
      </c>
      <c r="AC205" s="33">
        <f>VLOOKUP(ужин4,таб,76,FALSE)</f>
        <v>0</v>
      </c>
      <c r="AD205" s="33">
        <f>VLOOKUP(ужин5,таб,76,FALSE)</f>
        <v>0</v>
      </c>
      <c r="AE205" s="33">
        <f>VLOOKUP(ужин6,таб,76,FALSE)</f>
        <v>0</v>
      </c>
      <c r="AF205" s="33">
        <f>VLOOKUP(ужин7,таб,76,FALSE)</f>
        <v>0</v>
      </c>
      <c r="AG205" s="87">
        <f>VLOOKUP(ужин8,таб,76,FALSE)</f>
        <v>0</v>
      </c>
      <c r="AH205" s="253"/>
      <c r="AI205" s="139">
        <f>AK205/сред</f>
        <v>0</v>
      </c>
      <c r="AJ205" s="140"/>
      <c r="AK205" s="143">
        <f>SUM(G206:AG206)</f>
        <v>0</v>
      </c>
      <c r="AL205" s="143"/>
      <c r="AM205" s="131">
        <f>IF(AK205=0,0,Таблиця!BY267)</f>
        <v>0</v>
      </c>
      <c r="AN205" s="129">
        <f>AK205*AM205</f>
        <v>0</v>
      </c>
      <c r="AO205" s="16"/>
      <c r="AP205" s="101"/>
      <c r="AQ205" s="102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DE205" s="54"/>
    </row>
    <row r="206" spans="1:109" ht="30.75" customHeight="1" hidden="1">
      <c r="A206" s="136"/>
      <c r="B206" s="137"/>
      <c r="C206" s="137"/>
      <c r="D206" s="137"/>
      <c r="E206" s="138"/>
      <c r="F206" s="107" t="s">
        <v>96</v>
      </c>
      <c r="G206" s="75">
        <f aca="true" t="shared" si="245" ref="G206:AG206">IF(G205=0,"",завтракл*G205/1000)</f>
      </c>
      <c r="H206" s="23">
        <f t="shared" si="245"/>
      </c>
      <c r="I206" s="23"/>
      <c r="J206" s="23">
        <f t="shared" si="245"/>
      </c>
      <c r="K206" s="23">
        <f t="shared" si="245"/>
      </c>
      <c r="L206" s="122">
        <f t="shared" si="245"/>
      </c>
      <c r="M206" s="75">
        <f t="shared" si="245"/>
      </c>
      <c r="N206" s="83">
        <f t="shared" si="245"/>
      </c>
      <c r="O206" s="75">
        <f t="shared" si="245"/>
      </c>
      <c r="P206" s="23">
        <f t="shared" si="245"/>
      </c>
      <c r="Q206" s="23">
        <f t="shared" si="245"/>
      </c>
      <c r="R206" s="23">
        <f t="shared" si="245"/>
      </c>
      <c r="S206" s="23">
        <f t="shared" si="245"/>
      </c>
      <c r="T206" s="23">
        <f t="shared" si="245"/>
      </c>
      <c r="U206" s="23">
        <f t="shared" si="245"/>
      </c>
      <c r="V206" s="83">
        <f t="shared" si="245"/>
      </c>
      <c r="W206" s="25">
        <f t="shared" si="245"/>
      </c>
      <c r="X206" s="23"/>
      <c r="Y206" s="83">
        <f t="shared" si="245"/>
      </c>
      <c r="Z206" s="25">
        <f t="shared" si="245"/>
      </c>
      <c r="AA206" s="23">
        <f t="shared" si="245"/>
      </c>
      <c r="AB206" s="23">
        <f t="shared" si="245"/>
      </c>
      <c r="AC206" s="23">
        <f t="shared" si="245"/>
      </c>
      <c r="AD206" s="23">
        <f t="shared" si="245"/>
      </c>
      <c r="AE206" s="23">
        <f t="shared" si="245"/>
      </c>
      <c r="AF206" s="23">
        <f t="shared" si="245"/>
      </c>
      <c r="AG206" s="83">
        <f t="shared" si="245"/>
      </c>
      <c r="AH206" s="254"/>
      <c r="AI206" s="139"/>
      <c r="AJ206" s="140"/>
      <c r="AK206" s="143"/>
      <c r="AL206" s="143"/>
      <c r="AM206" s="132"/>
      <c r="AN206" s="130"/>
      <c r="AO206" s="16"/>
      <c r="AP206" s="16"/>
      <c r="AQ206" s="102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DE206" s="54"/>
    </row>
    <row r="207" spans="1:109" ht="30.75" customHeight="1" hidden="1">
      <c r="A207" s="133" t="s">
        <v>443</v>
      </c>
      <c r="B207" s="134"/>
      <c r="C207" s="134"/>
      <c r="D207" s="134"/>
      <c r="E207" s="135"/>
      <c r="F207" s="106" t="s">
        <v>95</v>
      </c>
      <c r="G207" s="71">
        <f>VLOOKUP(завтрак1,таб,66,FALSE)</f>
        <v>0</v>
      </c>
      <c r="H207" s="26">
        <f>VLOOKUP(завтрак2,таб,66,FALSE)</f>
        <v>0</v>
      </c>
      <c r="I207" s="26"/>
      <c r="J207" s="26">
        <f>VLOOKUP(завтрак4,таб,66,FALSE)</f>
        <v>0</v>
      </c>
      <c r="K207" s="26">
        <f>VLOOKUP(завтрак5,таб,66,FALSE)</f>
        <v>0</v>
      </c>
      <c r="L207" s="116">
        <f>VLOOKUP(завтрак6,таб,66,FALSE)</f>
        <v>0</v>
      </c>
      <c r="M207" s="71">
        <f>VLOOKUP(завтрак7,таб,66,FALSE)</f>
        <v>0</v>
      </c>
      <c r="N207" s="81">
        <f>VLOOKUP(завтрак8,таб,66,FALSE)</f>
        <v>0</v>
      </c>
      <c r="O207" s="34">
        <f>VLOOKUP(обед1,таб,66,FALSE)</f>
        <v>0</v>
      </c>
      <c r="P207" s="33">
        <f>VLOOKUP(обед2,таб,66,FALSE)</f>
        <v>0</v>
      </c>
      <c r="Q207" s="33">
        <f>VLOOKUP(обед3,таб,66,FALSE)</f>
        <v>0</v>
      </c>
      <c r="R207" s="33">
        <f>VLOOKUP(обед4,таб,66,FALSE)</f>
        <v>0</v>
      </c>
      <c r="S207" s="33">
        <f>VLOOKUP(обед5,таб,66,FALSE)</f>
        <v>0</v>
      </c>
      <c r="T207" s="33">
        <f>VLOOKUP(обед6,таб,66,FALSE)</f>
        <v>0</v>
      </c>
      <c r="U207" s="33">
        <f>VLOOKUP(обед7,таб,66,FALSE)</f>
        <v>0</v>
      </c>
      <c r="V207" s="87">
        <f>VLOOKUP(обед8,таб,66,FALSE)</f>
        <v>0</v>
      </c>
      <c r="W207" s="34">
        <f>VLOOKUP(полдник1,таб,66,FALSE)</f>
        <v>0</v>
      </c>
      <c r="X207" s="33"/>
      <c r="Y207" s="87">
        <f>VLOOKUP(полдник3,таб,66,FALSE)</f>
        <v>0</v>
      </c>
      <c r="Z207" s="34">
        <f>VLOOKUP(ужин1,таб,66,FALSE)</f>
        <v>0</v>
      </c>
      <c r="AA207" s="33">
        <f>VLOOKUP(ужин2,таб,66,FALSE)</f>
        <v>0</v>
      </c>
      <c r="AB207" s="33">
        <f>VLOOKUP(ужин3,таб,66,FALSE)</f>
        <v>0</v>
      </c>
      <c r="AC207" s="33">
        <f>VLOOKUP(ужин4,таб,66,FALSE)</f>
        <v>0</v>
      </c>
      <c r="AD207" s="33">
        <f>VLOOKUP(ужин5,таб,66,FALSE)</f>
        <v>0</v>
      </c>
      <c r="AE207" s="33">
        <f>VLOOKUP(ужин6,таб,66,FALSE)</f>
        <v>0</v>
      </c>
      <c r="AF207" s="33">
        <f>VLOOKUP(ужин7,таб,66,FALSE)</f>
        <v>0</v>
      </c>
      <c r="AG207" s="87">
        <f>VLOOKUP(ужин8,таб,66,FALSE)</f>
        <v>0</v>
      </c>
      <c r="AH207" s="253"/>
      <c r="AI207" s="139">
        <f>AK207/сред</f>
        <v>0</v>
      </c>
      <c r="AJ207" s="140"/>
      <c r="AK207" s="143">
        <f>SUM(G208:AG208)</f>
        <v>0</v>
      </c>
      <c r="AL207" s="143"/>
      <c r="AM207" s="131">
        <f>IF(AK207=0,0,Таблиця!BO267)</f>
        <v>0</v>
      </c>
      <c r="AN207" s="129">
        <f>AK207*AM207</f>
        <v>0</v>
      </c>
      <c r="AO207" s="16"/>
      <c r="AP207" s="16"/>
      <c r="AQ207" s="102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DE207" s="54"/>
    </row>
    <row r="208" spans="1:109" ht="30.75" customHeight="1" hidden="1">
      <c r="A208" s="136"/>
      <c r="B208" s="137"/>
      <c r="C208" s="137"/>
      <c r="D208" s="137"/>
      <c r="E208" s="138"/>
      <c r="F208" s="107" t="s">
        <v>96</v>
      </c>
      <c r="G208" s="75">
        <f aca="true" t="shared" si="246" ref="G208:AG208">IF(G207=0,"",завтракл*G207/1000)</f>
      </c>
      <c r="H208" s="23">
        <f t="shared" si="246"/>
      </c>
      <c r="I208" s="23"/>
      <c r="J208" s="23">
        <f t="shared" si="246"/>
      </c>
      <c r="K208" s="23">
        <f t="shared" si="246"/>
      </c>
      <c r="L208" s="122">
        <f t="shared" si="246"/>
      </c>
      <c r="M208" s="75">
        <f t="shared" si="246"/>
      </c>
      <c r="N208" s="83">
        <f t="shared" si="246"/>
      </c>
      <c r="O208" s="75">
        <f t="shared" si="246"/>
      </c>
      <c r="P208" s="23">
        <f t="shared" si="246"/>
      </c>
      <c r="Q208" s="23">
        <f t="shared" si="246"/>
      </c>
      <c r="R208" s="23">
        <f t="shared" si="246"/>
      </c>
      <c r="S208" s="23">
        <f t="shared" si="246"/>
      </c>
      <c r="T208" s="23">
        <f t="shared" si="246"/>
      </c>
      <c r="U208" s="23">
        <f t="shared" si="246"/>
      </c>
      <c r="V208" s="83">
        <f t="shared" si="246"/>
      </c>
      <c r="W208" s="25">
        <f t="shared" si="246"/>
      </c>
      <c r="X208" s="23"/>
      <c r="Y208" s="83">
        <f t="shared" si="246"/>
      </c>
      <c r="Z208" s="25">
        <f t="shared" si="246"/>
      </c>
      <c r="AA208" s="23">
        <f t="shared" si="246"/>
      </c>
      <c r="AB208" s="23">
        <f t="shared" si="246"/>
      </c>
      <c r="AC208" s="23">
        <f t="shared" si="246"/>
      </c>
      <c r="AD208" s="23">
        <f t="shared" si="246"/>
      </c>
      <c r="AE208" s="23">
        <f t="shared" si="246"/>
      </c>
      <c r="AF208" s="23">
        <f t="shared" si="246"/>
      </c>
      <c r="AG208" s="83">
        <f t="shared" si="246"/>
      </c>
      <c r="AH208" s="254"/>
      <c r="AI208" s="139"/>
      <c r="AJ208" s="140"/>
      <c r="AK208" s="143"/>
      <c r="AL208" s="143"/>
      <c r="AM208" s="132"/>
      <c r="AN208" s="130"/>
      <c r="AO208" s="16"/>
      <c r="AP208" s="16"/>
      <c r="AQ208" s="102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DE208" s="54"/>
    </row>
    <row r="209" spans="1:109" ht="30.75" customHeight="1" hidden="1">
      <c r="A209" s="133" t="s">
        <v>445</v>
      </c>
      <c r="B209" s="134"/>
      <c r="C209" s="134"/>
      <c r="D209" s="134"/>
      <c r="E209" s="135"/>
      <c r="F209" s="106" t="s">
        <v>95</v>
      </c>
      <c r="G209" s="71">
        <f>VLOOKUP(завтрак1,таб,78,FALSE)</f>
        <v>0</v>
      </c>
      <c r="H209" s="26">
        <f>VLOOKUP(завтрак2,таб,78,FALSE)</f>
        <v>0</v>
      </c>
      <c r="I209" s="26"/>
      <c r="J209" s="26">
        <f>VLOOKUP(завтрак4,таб,78,FALSE)</f>
        <v>0</v>
      </c>
      <c r="K209" s="26">
        <f>VLOOKUP(завтрак5,таб,78,FALSE)</f>
        <v>0</v>
      </c>
      <c r="L209" s="116">
        <f>VLOOKUP(завтрак6,таб,78,FALSE)</f>
        <v>0</v>
      </c>
      <c r="M209" s="71">
        <f>VLOOKUP(завтрак7,таб,78,FALSE)</f>
        <v>0</v>
      </c>
      <c r="N209" s="81">
        <f>VLOOKUP(завтрак8,таб,78,FALSE)</f>
        <v>0</v>
      </c>
      <c r="O209" s="34">
        <f>VLOOKUP(обед1,таб,78,FALSE)</f>
        <v>0</v>
      </c>
      <c r="P209" s="33">
        <f>VLOOKUP(обед2,таб,78,FALSE)</f>
        <v>0</v>
      </c>
      <c r="Q209" s="33">
        <f>VLOOKUP(обед3,таб,78,FALSE)</f>
        <v>0</v>
      </c>
      <c r="R209" s="33">
        <f>VLOOKUP(обед4,таб,78,FALSE)</f>
        <v>0</v>
      </c>
      <c r="S209" s="33">
        <f>VLOOKUP(обед5,таб,78,FALSE)</f>
        <v>0</v>
      </c>
      <c r="T209" s="33">
        <f>VLOOKUP(обед6,таб,78,FALSE)</f>
        <v>0</v>
      </c>
      <c r="U209" s="33">
        <f>VLOOKUP(обед7,таб,78,FALSE)</f>
        <v>0</v>
      </c>
      <c r="V209" s="87">
        <f>VLOOKUP(обед8,таб,78,FALSE)</f>
        <v>0</v>
      </c>
      <c r="W209" s="34">
        <f>VLOOKUP(полдник1,таб,78,FALSE)</f>
        <v>0</v>
      </c>
      <c r="X209" s="33"/>
      <c r="Y209" s="87">
        <f>VLOOKUP(полдник3,таб,78,FALSE)</f>
        <v>0</v>
      </c>
      <c r="Z209" s="34">
        <f>VLOOKUP(ужин1,таб,78,FALSE)</f>
        <v>0</v>
      </c>
      <c r="AA209" s="33">
        <f>VLOOKUP(ужин2,таб,78,FALSE)</f>
        <v>0</v>
      </c>
      <c r="AB209" s="33">
        <f>VLOOKUP(ужин3,таб,78,FALSE)</f>
        <v>0</v>
      </c>
      <c r="AC209" s="33">
        <f>VLOOKUP(ужин4,таб,78,FALSE)</f>
        <v>0</v>
      </c>
      <c r="AD209" s="33">
        <f>VLOOKUP(ужин5,таб,78,FALSE)</f>
        <v>0</v>
      </c>
      <c r="AE209" s="33">
        <f>VLOOKUP(ужин6,таб,78,FALSE)</f>
        <v>0</v>
      </c>
      <c r="AF209" s="33">
        <f>VLOOKUP(ужин7,таб,78,FALSE)</f>
        <v>0</v>
      </c>
      <c r="AG209" s="87">
        <f>VLOOKUP(ужин8,таб,78,FALSE)</f>
        <v>0</v>
      </c>
      <c r="AH209" s="253"/>
      <c r="AI209" s="139">
        <f>AK209/сред</f>
        <v>0</v>
      </c>
      <c r="AJ209" s="140"/>
      <c r="AK209" s="143">
        <f>SUM(G210:AG210)</f>
        <v>0</v>
      </c>
      <c r="AL209" s="143"/>
      <c r="AM209" s="131">
        <f>IF(AK209=0,0,Таблиця!CA267)</f>
        <v>0</v>
      </c>
      <c r="AN209" s="129">
        <f>AK209*AM209</f>
        <v>0</v>
      </c>
      <c r="AO209" s="16"/>
      <c r="AP209" s="16"/>
      <c r="AQ209" s="102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DE209" s="54"/>
    </row>
    <row r="210" spans="1:109" ht="30.75" customHeight="1" hidden="1">
      <c r="A210" s="136"/>
      <c r="B210" s="137"/>
      <c r="C210" s="137"/>
      <c r="D210" s="137"/>
      <c r="E210" s="138"/>
      <c r="F210" s="107" t="s">
        <v>96</v>
      </c>
      <c r="G210" s="75">
        <f aca="true" t="shared" si="247" ref="G210:AG210">IF(G209=0,"",завтракл*G209/1000)</f>
      </c>
      <c r="H210" s="23">
        <f t="shared" si="247"/>
      </c>
      <c r="I210" s="23"/>
      <c r="J210" s="23">
        <f t="shared" si="247"/>
      </c>
      <c r="K210" s="23">
        <f t="shared" si="247"/>
      </c>
      <c r="L210" s="122">
        <f t="shared" si="247"/>
      </c>
      <c r="M210" s="75">
        <f t="shared" si="247"/>
      </c>
      <c r="N210" s="83">
        <f t="shared" si="247"/>
      </c>
      <c r="O210" s="75">
        <f t="shared" si="247"/>
      </c>
      <c r="P210" s="23">
        <f t="shared" si="247"/>
      </c>
      <c r="Q210" s="23">
        <f t="shared" si="247"/>
      </c>
      <c r="R210" s="23">
        <f t="shared" si="247"/>
      </c>
      <c r="S210" s="23">
        <f t="shared" si="247"/>
      </c>
      <c r="T210" s="23">
        <f t="shared" si="247"/>
      </c>
      <c r="U210" s="23">
        <f t="shared" si="247"/>
      </c>
      <c r="V210" s="83">
        <f t="shared" si="247"/>
      </c>
      <c r="W210" s="25">
        <f t="shared" si="247"/>
      </c>
      <c r="X210" s="23"/>
      <c r="Y210" s="83">
        <f t="shared" si="247"/>
      </c>
      <c r="Z210" s="25">
        <f t="shared" si="247"/>
      </c>
      <c r="AA210" s="23">
        <f t="shared" si="247"/>
      </c>
      <c r="AB210" s="23">
        <f t="shared" si="247"/>
      </c>
      <c r="AC210" s="23">
        <f t="shared" si="247"/>
      </c>
      <c r="AD210" s="23">
        <f t="shared" si="247"/>
      </c>
      <c r="AE210" s="23">
        <f t="shared" si="247"/>
      </c>
      <c r="AF210" s="23">
        <f t="shared" si="247"/>
      </c>
      <c r="AG210" s="83">
        <f t="shared" si="247"/>
      </c>
      <c r="AH210" s="254"/>
      <c r="AI210" s="139"/>
      <c r="AJ210" s="140"/>
      <c r="AK210" s="143"/>
      <c r="AL210" s="143"/>
      <c r="AM210" s="132"/>
      <c r="AN210" s="130"/>
      <c r="AO210" s="16"/>
      <c r="AP210" s="16"/>
      <c r="AQ210" s="102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DE210" s="54"/>
    </row>
    <row r="211" spans="1:109" ht="30.75" customHeight="1" hidden="1">
      <c r="A211" s="133" t="s">
        <v>446</v>
      </c>
      <c r="B211" s="134"/>
      <c r="C211" s="134"/>
      <c r="D211" s="134"/>
      <c r="E211" s="135"/>
      <c r="F211" s="106" t="s">
        <v>95</v>
      </c>
      <c r="G211" s="71">
        <f>VLOOKUP(завтрак1,таб,87,FALSE)</f>
        <v>0</v>
      </c>
      <c r="H211" s="26">
        <f>VLOOKUP(завтрак2,таб,87,FALSE)</f>
        <v>0</v>
      </c>
      <c r="I211" s="26"/>
      <c r="J211" s="26">
        <f>VLOOKUP(завтрак4,таб,87,FALSE)</f>
        <v>0</v>
      </c>
      <c r="K211" s="26">
        <f>VLOOKUP(завтрак5,таб,87,FALSE)</f>
        <v>0</v>
      </c>
      <c r="L211" s="116">
        <f>VLOOKUP(завтрак6,таб,87,FALSE)</f>
        <v>0</v>
      </c>
      <c r="M211" s="71">
        <f>VLOOKUP(завтрак7,таб,87,FALSE)</f>
        <v>0</v>
      </c>
      <c r="N211" s="81">
        <f>VLOOKUP(завтрак8,таб,87,FALSE)</f>
        <v>0</v>
      </c>
      <c r="O211" s="34">
        <f>VLOOKUP(обед1,таб,87,FALSE)</f>
        <v>0</v>
      </c>
      <c r="P211" s="33">
        <f>VLOOKUP(обед2,таб,87,FALSE)</f>
        <v>0</v>
      </c>
      <c r="Q211" s="33">
        <f>VLOOKUP(обед3,таб,87,FALSE)</f>
        <v>0</v>
      </c>
      <c r="R211" s="33">
        <f>VLOOKUP(обед4,таб,87,FALSE)</f>
        <v>0</v>
      </c>
      <c r="S211" s="33">
        <f>VLOOKUP(обед5,таб,87,FALSE)</f>
        <v>0</v>
      </c>
      <c r="T211" s="33">
        <f>VLOOKUP(обед6,таб,87,FALSE)</f>
        <v>0</v>
      </c>
      <c r="U211" s="33">
        <f>VLOOKUP(обед7,таб,87,FALSE)</f>
        <v>0</v>
      </c>
      <c r="V211" s="87">
        <f>VLOOKUP(обед8,таб,87,FALSE)</f>
        <v>0</v>
      </c>
      <c r="W211" s="34">
        <f>VLOOKUP(полдник1,таб,87,FALSE)</f>
        <v>0</v>
      </c>
      <c r="X211" s="33"/>
      <c r="Y211" s="87">
        <f>VLOOKUP(полдник3,таб,87,FALSE)</f>
        <v>0</v>
      </c>
      <c r="Z211" s="34">
        <f>VLOOKUP(ужин1,таб,87,FALSE)</f>
        <v>0</v>
      </c>
      <c r="AA211" s="33">
        <f>VLOOKUP(ужин2,таб,87,FALSE)</f>
        <v>0</v>
      </c>
      <c r="AB211" s="33">
        <f>VLOOKUP(ужин3,таб,87,FALSE)</f>
        <v>0</v>
      </c>
      <c r="AC211" s="33">
        <f>VLOOKUP(ужин4,таб,87,FALSE)</f>
        <v>0</v>
      </c>
      <c r="AD211" s="33">
        <f>VLOOKUP(ужин5,таб,87,FALSE)</f>
        <v>0</v>
      </c>
      <c r="AE211" s="33">
        <f>VLOOKUP(ужин6,таб,87,FALSE)</f>
        <v>0</v>
      </c>
      <c r="AF211" s="33">
        <f>VLOOKUP(ужин7,таб,87,FALSE)</f>
        <v>0</v>
      </c>
      <c r="AG211" s="87">
        <f>VLOOKUP(ужин8,таб,87,FALSE)</f>
        <v>0</v>
      </c>
      <c r="AH211" s="253"/>
      <c r="AI211" s="139">
        <f>AK211/сред</f>
        <v>0</v>
      </c>
      <c r="AJ211" s="140"/>
      <c r="AK211" s="143">
        <f>SUM(G212:AG212)</f>
        <v>0</v>
      </c>
      <c r="AL211" s="143"/>
      <c r="AM211" s="131">
        <f>IF(AK211=0,0,Таблиця!CJ267)</f>
        <v>0</v>
      </c>
      <c r="AN211" s="129">
        <f>AK211*AM211</f>
        <v>0</v>
      </c>
      <c r="AO211" s="16"/>
      <c r="AP211" s="16"/>
      <c r="AQ211" s="102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DE211" s="54"/>
    </row>
    <row r="212" spans="1:109" ht="30.75" customHeight="1" hidden="1">
      <c r="A212" s="136"/>
      <c r="B212" s="137"/>
      <c r="C212" s="137"/>
      <c r="D212" s="137"/>
      <c r="E212" s="138"/>
      <c r="F212" s="107" t="s">
        <v>96</v>
      </c>
      <c r="G212" s="75">
        <f aca="true" t="shared" si="248" ref="G212:AG212">IF(G211=0,"",завтракл*G211/1000)</f>
      </c>
      <c r="H212" s="23">
        <f t="shared" si="248"/>
      </c>
      <c r="I212" s="23"/>
      <c r="J212" s="23">
        <f t="shared" si="248"/>
      </c>
      <c r="K212" s="23">
        <f t="shared" si="248"/>
      </c>
      <c r="L212" s="122">
        <f t="shared" si="248"/>
      </c>
      <c r="M212" s="75">
        <f t="shared" si="248"/>
      </c>
      <c r="N212" s="83">
        <f t="shared" si="248"/>
      </c>
      <c r="O212" s="75">
        <f t="shared" si="248"/>
      </c>
      <c r="P212" s="23">
        <f t="shared" si="248"/>
      </c>
      <c r="Q212" s="23">
        <f t="shared" si="248"/>
      </c>
      <c r="R212" s="23">
        <f t="shared" si="248"/>
      </c>
      <c r="S212" s="23">
        <f t="shared" si="248"/>
      </c>
      <c r="T212" s="23">
        <f t="shared" si="248"/>
      </c>
      <c r="U212" s="23">
        <f t="shared" si="248"/>
      </c>
      <c r="V212" s="83">
        <f t="shared" si="248"/>
      </c>
      <c r="W212" s="25">
        <f t="shared" si="248"/>
      </c>
      <c r="X212" s="23"/>
      <c r="Y212" s="83">
        <f t="shared" si="248"/>
      </c>
      <c r="Z212" s="25">
        <f t="shared" si="248"/>
      </c>
      <c r="AA212" s="23">
        <f t="shared" si="248"/>
      </c>
      <c r="AB212" s="23">
        <f t="shared" si="248"/>
      </c>
      <c r="AC212" s="23">
        <f t="shared" si="248"/>
      </c>
      <c r="AD212" s="23">
        <f t="shared" si="248"/>
      </c>
      <c r="AE212" s="23">
        <f t="shared" si="248"/>
      </c>
      <c r="AF212" s="23">
        <f t="shared" si="248"/>
      </c>
      <c r="AG212" s="83">
        <f t="shared" si="248"/>
      </c>
      <c r="AH212" s="254"/>
      <c r="AI212" s="139"/>
      <c r="AJ212" s="140"/>
      <c r="AK212" s="143"/>
      <c r="AL212" s="143"/>
      <c r="AM212" s="132"/>
      <c r="AN212" s="130"/>
      <c r="AO212" s="16"/>
      <c r="AP212" s="16"/>
      <c r="AQ212" s="102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DE212" s="54"/>
    </row>
    <row r="213" spans="1:109" ht="30.75" customHeight="1" hidden="1">
      <c r="A213" s="133" t="s">
        <v>447</v>
      </c>
      <c r="B213" s="134"/>
      <c r="C213" s="134"/>
      <c r="D213" s="134"/>
      <c r="E213" s="135"/>
      <c r="F213" s="106" t="s">
        <v>95</v>
      </c>
      <c r="G213" s="71">
        <f>VLOOKUP(завтрак1,таб,88,FALSE)</f>
        <v>0</v>
      </c>
      <c r="H213" s="26">
        <f>VLOOKUP(завтрак2,таб,88,FALSE)</f>
        <v>0</v>
      </c>
      <c r="I213" s="26"/>
      <c r="J213" s="26">
        <f>VLOOKUP(завтрак4,таб,88,FALSE)</f>
        <v>0</v>
      </c>
      <c r="K213" s="26">
        <f>VLOOKUP(завтрак5,таб,88,FALSE)</f>
        <v>0</v>
      </c>
      <c r="L213" s="116">
        <f>VLOOKUP(завтрак6,таб,88,FALSE)</f>
        <v>0</v>
      </c>
      <c r="M213" s="71">
        <f>VLOOKUP(завтрак7,таб,88,FALSE)</f>
        <v>0</v>
      </c>
      <c r="N213" s="81">
        <f>VLOOKUP(завтрак8,таб,88,FALSE)</f>
        <v>0</v>
      </c>
      <c r="O213" s="34">
        <f>VLOOKUP(обед1,таб,88,FALSE)</f>
        <v>0</v>
      </c>
      <c r="P213" s="33">
        <f>VLOOKUP(обед2,таб,88,FALSE)</f>
        <v>0</v>
      </c>
      <c r="Q213" s="33">
        <f>VLOOKUP(обед3,таб,88,FALSE)</f>
        <v>0</v>
      </c>
      <c r="R213" s="33">
        <f>VLOOKUP(обед4,таб,88,FALSE)</f>
        <v>0</v>
      </c>
      <c r="S213" s="33">
        <f>VLOOKUP(обед5,таб,88,FALSE)</f>
        <v>0</v>
      </c>
      <c r="T213" s="33">
        <f>VLOOKUP(обед6,таб,88,FALSE)</f>
        <v>0</v>
      </c>
      <c r="U213" s="33">
        <f>VLOOKUP(обед7,таб,88,FALSE)</f>
        <v>0</v>
      </c>
      <c r="V213" s="87">
        <f>VLOOKUP(обед8,таб,88,FALSE)</f>
        <v>0</v>
      </c>
      <c r="W213" s="34">
        <f>VLOOKUP(полдник1,таб,88,FALSE)</f>
        <v>0</v>
      </c>
      <c r="X213" s="33"/>
      <c r="Y213" s="87">
        <f>VLOOKUP(полдник3,таб,88,FALSE)</f>
        <v>0</v>
      </c>
      <c r="Z213" s="34"/>
      <c r="AA213" s="33">
        <f>VLOOKUP(ужин2,таб,88,FALSE)</f>
        <v>0</v>
      </c>
      <c r="AB213" s="33">
        <f>VLOOKUP(ужин3,таб,88,FALSE)</f>
        <v>0</v>
      </c>
      <c r="AC213" s="33">
        <f>VLOOKUP(ужин4,таб,88,FALSE)</f>
        <v>0</v>
      </c>
      <c r="AD213" s="33">
        <f>VLOOKUP(ужин5,таб,88,FALSE)</f>
        <v>0</v>
      </c>
      <c r="AE213" s="33">
        <f>VLOOKUP(ужин6,таб,88,FALSE)</f>
        <v>0</v>
      </c>
      <c r="AF213" s="33">
        <f>VLOOKUP(ужин7,таб,88,FALSE)</f>
        <v>0</v>
      </c>
      <c r="AG213" s="87">
        <f>VLOOKUP(ужин8,таб,88,FALSE)</f>
        <v>0</v>
      </c>
      <c r="AH213" s="253"/>
      <c r="AI213" s="139">
        <f>AK213/сред</f>
        <v>0</v>
      </c>
      <c r="AJ213" s="140"/>
      <c r="AK213" s="143">
        <f>SUM(G214:AG214)</f>
        <v>0</v>
      </c>
      <c r="AL213" s="143"/>
      <c r="AM213" s="131">
        <f>IF(AK213=0,0,Таблиця!CK267)</f>
        <v>0</v>
      </c>
      <c r="AN213" s="129">
        <f>AK213*AM213</f>
        <v>0</v>
      </c>
      <c r="AO213" s="16"/>
      <c r="AP213" s="16"/>
      <c r="AQ213" s="102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DE213" s="54"/>
    </row>
    <row r="214" spans="1:109" ht="30.75" customHeight="1" hidden="1">
      <c r="A214" s="136"/>
      <c r="B214" s="137"/>
      <c r="C214" s="137"/>
      <c r="D214" s="137"/>
      <c r="E214" s="138"/>
      <c r="F214" s="107" t="s">
        <v>96</v>
      </c>
      <c r="G214" s="75">
        <f aca="true" t="shared" si="249" ref="G214:AG214">IF(G213=0,"",завтракл*G213/1000)</f>
      </c>
      <c r="H214" s="23">
        <f t="shared" si="249"/>
      </c>
      <c r="I214" s="23"/>
      <c r="J214" s="23">
        <f t="shared" si="249"/>
      </c>
      <c r="K214" s="23">
        <f t="shared" si="249"/>
      </c>
      <c r="L214" s="122">
        <f t="shared" si="249"/>
      </c>
      <c r="M214" s="75">
        <f t="shared" si="249"/>
      </c>
      <c r="N214" s="83">
        <f t="shared" si="249"/>
      </c>
      <c r="O214" s="75">
        <f t="shared" si="249"/>
      </c>
      <c r="P214" s="23">
        <f t="shared" si="249"/>
      </c>
      <c r="Q214" s="23">
        <f t="shared" si="249"/>
      </c>
      <c r="R214" s="23">
        <f t="shared" si="249"/>
      </c>
      <c r="S214" s="23">
        <f t="shared" si="249"/>
      </c>
      <c r="T214" s="23">
        <f t="shared" si="249"/>
      </c>
      <c r="U214" s="23">
        <f t="shared" si="249"/>
      </c>
      <c r="V214" s="83">
        <f t="shared" si="249"/>
      </c>
      <c r="W214" s="25">
        <f t="shared" si="249"/>
      </c>
      <c r="X214" s="23"/>
      <c r="Y214" s="83">
        <f t="shared" si="249"/>
      </c>
      <c r="Z214" s="25">
        <f t="shared" si="249"/>
      </c>
      <c r="AA214" s="23">
        <f t="shared" si="249"/>
      </c>
      <c r="AB214" s="23">
        <f t="shared" si="249"/>
      </c>
      <c r="AC214" s="23">
        <f t="shared" si="249"/>
      </c>
      <c r="AD214" s="23">
        <f t="shared" si="249"/>
      </c>
      <c r="AE214" s="23">
        <f t="shared" si="249"/>
      </c>
      <c r="AF214" s="23">
        <f t="shared" si="249"/>
      </c>
      <c r="AG214" s="83">
        <f t="shared" si="249"/>
      </c>
      <c r="AH214" s="254"/>
      <c r="AI214" s="139"/>
      <c r="AJ214" s="140"/>
      <c r="AK214" s="143"/>
      <c r="AL214" s="143"/>
      <c r="AM214" s="132"/>
      <c r="AN214" s="130"/>
      <c r="AO214" s="16"/>
      <c r="AP214" s="16"/>
      <c r="AQ214" s="102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DE214" s="54"/>
    </row>
    <row r="215" spans="1:66" ht="30.75" customHeight="1" hidden="1">
      <c r="A215" s="133" t="s">
        <v>448</v>
      </c>
      <c r="B215" s="134"/>
      <c r="C215" s="134"/>
      <c r="D215" s="134"/>
      <c r="E215" s="135"/>
      <c r="F215" s="106" t="s">
        <v>95</v>
      </c>
      <c r="G215" s="71">
        <f>VLOOKUP(завтрак1,таб,90,FALSE)</f>
        <v>0</v>
      </c>
      <c r="H215" s="26">
        <f>VLOOKUP(завтрак2,таб,90,FALSE)</f>
        <v>0</v>
      </c>
      <c r="I215" s="26"/>
      <c r="J215" s="26">
        <f>VLOOKUP(завтрак4,таб,90,FALSE)</f>
        <v>0</v>
      </c>
      <c r="K215" s="26">
        <f>VLOOKUP(завтрак5,таб,90,FALSE)</f>
        <v>0</v>
      </c>
      <c r="L215" s="116">
        <f>VLOOKUP(завтрак6,таб,90,FALSE)</f>
        <v>0</v>
      </c>
      <c r="M215" s="71">
        <f>VLOOKUP(завтрак7,таб,90,FALSE)</f>
        <v>0</v>
      </c>
      <c r="N215" s="81">
        <f>VLOOKUP(завтрак8,таб,90,FALSE)</f>
        <v>0</v>
      </c>
      <c r="O215" s="34">
        <f>VLOOKUP(обед1,таб,90,FALSE)</f>
        <v>0</v>
      </c>
      <c r="P215" s="33">
        <f>VLOOKUP(обед2,таб,90,FALSE)</f>
        <v>0</v>
      </c>
      <c r="Q215" s="33">
        <f>VLOOKUP(обед3,таб,90,FALSE)</f>
        <v>0</v>
      </c>
      <c r="R215" s="33">
        <f>VLOOKUP(обед4,таб,90,FALSE)</f>
        <v>0</v>
      </c>
      <c r="S215" s="33">
        <f>VLOOKUP(обед5,таб,90,FALSE)</f>
        <v>0</v>
      </c>
      <c r="T215" s="33">
        <f>VLOOKUP(обед6,таб,90,FALSE)</f>
        <v>0</v>
      </c>
      <c r="U215" s="33">
        <f>VLOOKUP(обед7,таб,90,FALSE)</f>
        <v>0</v>
      </c>
      <c r="V215" s="87">
        <f>VLOOKUP(обед8,таб,90,FALSE)</f>
        <v>0</v>
      </c>
      <c r="W215" s="34">
        <f>VLOOKUP(полдник1,таб,90,FALSE)</f>
        <v>0</v>
      </c>
      <c r="X215" s="33"/>
      <c r="Y215" s="87">
        <f>VLOOKUP(полдник3,таб,90,FALSE)</f>
        <v>0</v>
      </c>
      <c r="Z215" s="34">
        <f>VLOOKUP(ужин1,таб,90,FALSE)</f>
        <v>0</v>
      </c>
      <c r="AA215" s="33">
        <f>VLOOKUP(ужин2,таб,90,FALSE)</f>
        <v>0</v>
      </c>
      <c r="AB215" s="33">
        <f>VLOOKUP(ужин3,таб,90,FALSE)</f>
        <v>0</v>
      </c>
      <c r="AC215" s="33">
        <f>VLOOKUP(ужин4,таб,90,FALSE)</f>
        <v>0</v>
      </c>
      <c r="AD215" s="33">
        <f>VLOOKUP(ужин5,таб,90,FALSE)</f>
        <v>0</v>
      </c>
      <c r="AE215" s="33">
        <f>VLOOKUP(ужин6,таб,90,FALSE)</f>
        <v>0</v>
      </c>
      <c r="AF215" s="33">
        <f>VLOOKUP(ужин7,таб,90,FALSE)</f>
        <v>0</v>
      </c>
      <c r="AG215" s="87">
        <f>VLOOKUP(ужин8,таб,90,FALSE)</f>
        <v>0</v>
      </c>
      <c r="AH215" s="253"/>
      <c r="AI215" s="139">
        <f>AK215/сред</f>
        <v>0</v>
      </c>
      <c r="AJ215" s="140"/>
      <c r="AK215" s="143">
        <f>SUM(G216:AG216)</f>
        <v>0</v>
      </c>
      <c r="AL215" s="143"/>
      <c r="AM215" s="131">
        <f>IF(AK215=0,0,Таблиця!CM267)</f>
        <v>0</v>
      </c>
      <c r="AN215" s="129">
        <f>AK215*AM215</f>
        <v>0</v>
      </c>
      <c r="AO215" s="16"/>
      <c r="AP215" s="16"/>
      <c r="AQ215" s="102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</row>
    <row r="216" spans="1:109" ht="30.75" customHeight="1" hidden="1">
      <c r="A216" s="136"/>
      <c r="B216" s="137"/>
      <c r="C216" s="137"/>
      <c r="D216" s="137"/>
      <c r="E216" s="138"/>
      <c r="F216" s="107" t="s">
        <v>96</v>
      </c>
      <c r="G216" s="75">
        <f aca="true" t="shared" si="250" ref="G216:AG216">IF(G215=0,"",завтракл*G215/1000)</f>
      </c>
      <c r="H216" s="23">
        <f t="shared" si="250"/>
      </c>
      <c r="I216" s="23"/>
      <c r="J216" s="23">
        <f t="shared" si="250"/>
      </c>
      <c r="K216" s="23">
        <f t="shared" si="250"/>
      </c>
      <c r="L216" s="122">
        <f t="shared" si="250"/>
      </c>
      <c r="M216" s="75">
        <f t="shared" si="250"/>
      </c>
      <c r="N216" s="83">
        <f t="shared" si="250"/>
      </c>
      <c r="O216" s="75">
        <f t="shared" si="250"/>
      </c>
      <c r="P216" s="23">
        <f t="shared" si="250"/>
      </c>
      <c r="Q216" s="23">
        <f t="shared" si="250"/>
      </c>
      <c r="R216" s="23">
        <f t="shared" si="250"/>
      </c>
      <c r="S216" s="23">
        <f t="shared" si="250"/>
      </c>
      <c r="T216" s="23">
        <f t="shared" si="250"/>
      </c>
      <c r="U216" s="23">
        <f t="shared" si="250"/>
      </c>
      <c r="V216" s="83">
        <f t="shared" si="250"/>
      </c>
      <c r="W216" s="25">
        <f t="shared" si="250"/>
      </c>
      <c r="X216" s="23"/>
      <c r="Y216" s="83">
        <f t="shared" si="250"/>
      </c>
      <c r="Z216" s="25">
        <f t="shared" si="250"/>
      </c>
      <c r="AA216" s="23">
        <f t="shared" si="250"/>
      </c>
      <c r="AB216" s="23">
        <f t="shared" si="250"/>
      </c>
      <c r="AC216" s="23">
        <f t="shared" si="250"/>
      </c>
      <c r="AD216" s="23">
        <f t="shared" si="250"/>
      </c>
      <c r="AE216" s="23">
        <f t="shared" si="250"/>
      </c>
      <c r="AF216" s="23">
        <f t="shared" si="250"/>
      </c>
      <c r="AG216" s="83">
        <f t="shared" si="250"/>
      </c>
      <c r="AH216" s="254"/>
      <c r="AI216" s="139"/>
      <c r="AJ216" s="140"/>
      <c r="AK216" s="143"/>
      <c r="AL216" s="143"/>
      <c r="AM216" s="132"/>
      <c r="AN216" s="130"/>
      <c r="AO216" s="16"/>
      <c r="AP216" s="16"/>
      <c r="AQ216" s="102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DE216" s="54"/>
    </row>
    <row r="217" spans="1:109" ht="30.75" customHeight="1" hidden="1">
      <c r="A217" s="133" t="s">
        <v>449</v>
      </c>
      <c r="B217" s="134"/>
      <c r="C217" s="134"/>
      <c r="D217" s="134"/>
      <c r="E217" s="135"/>
      <c r="F217" s="106" t="s">
        <v>95</v>
      </c>
      <c r="G217" s="71">
        <f>VLOOKUP(завтрак1,таб,91,FALSE)</f>
        <v>0</v>
      </c>
      <c r="H217" s="26">
        <f>VLOOKUP(завтрак2,таб,91,FALSE)</f>
        <v>0</v>
      </c>
      <c r="I217" s="26"/>
      <c r="J217" s="26">
        <f>VLOOKUP(завтрак4,таб,91,FALSE)</f>
        <v>0</v>
      </c>
      <c r="K217" s="26">
        <f>VLOOKUP(завтрак5,таб,91,FALSE)</f>
        <v>0</v>
      </c>
      <c r="L217" s="116">
        <f>VLOOKUP(завтрак6,таб,91,FALSE)</f>
        <v>0</v>
      </c>
      <c r="M217" s="71">
        <f>VLOOKUP(завтрак7,таб,91,FALSE)</f>
        <v>0</v>
      </c>
      <c r="N217" s="81">
        <f>VLOOKUP(завтрак8,таб,91,FALSE)</f>
        <v>0</v>
      </c>
      <c r="O217" s="34">
        <f>VLOOKUP(обед1,таб,91,FALSE)</f>
        <v>0</v>
      </c>
      <c r="P217" s="33">
        <f>VLOOKUP(обед2,таб,91,FALSE)</f>
        <v>0</v>
      </c>
      <c r="Q217" s="33">
        <f>VLOOKUP(обед3,таб,91,FALSE)</f>
        <v>0</v>
      </c>
      <c r="R217" s="33">
        <f>VLOOKUP(обед4,таб,91,FALSE)</f>
        <v>0</v>
      </c>
      <c r="S217" s="33">
        <f>VLOOKUP(обед5,таб,91,FALSE)</f>
        <v>0</v>
      </c>
      <c r="T217" s="33">
        <f>VLOOKUP(обед6,таб,91,FALSE)</f>
        <v>0</v>
      </c>
      <c r="U217" s="33">
        <f>VLOOKUP(обед7,таб,91,FALSE)</f>
        <v>0</v>
      </c>
      <c r="V217" s="87">
        <f>VLOOKUP(обед8,таб,91,FALSE)</f>
        <v>0</v>
      </c>
      <c r="W217" s="34">
        <f>VLOOKUP(полдник1,таб,91,FALSE)</f>
        <v>0</v>
      </c>
      <c r="X217" s="33"/>
      <c r="Y217" s="87">
        <f>VLOOKUP(полдник3,таб,91,FALSE)</f>
        <v>0</v>
      </c>
      <c r="Z217" s="34">
        <f>VLOOKUP(ужин1,таб,91,FALSE)</f>
        <v>0</v>
      </c>
      <c r="AA217" s="33">
        <f>VLOOKUP(ужин2,таб,91,FALSE)</f>
        <v>0</v>
      </c>
      <c r="AB217" s="33">
        <f>VLOOKUP(ужин3,таб,91,FALSE)</f>
        <v>0</v>
      </c>
      <c r="AC217" s="33">
        <f>VLOOKUP(ужин4,таб,91,FALSE)</f>
        <v>0</v>
      </c>
      <c r="AD217" s="33">
        <f>VLOOKUP(ужин5,таб,91,FALSE)</f>
        <v>0</v>
      </c>
      <c r="AE217" s="33">
        <f>VLOOKUP(ужин6,таб,91,FALSE)</f>
        <v>0</v>
      </c>
      <c r="AF217" s="33">
        <f>VLOOKUP(ужин7,таб,91,FALSE)</f>
        <v>0</v>
      </c>
      <c r="AG217" s="87">
        <f>VLOOKUP(ужин8,таб,91,FALSE)</f>
        <v>0</v>
      </c>
      <c r="AH217" s="253"/>
      <c r="AI217" s="139">
        <f>AK217/сред</f>
        <v>0</v>
      </c>
      <c r="AJ217" s="140"/>
      <c r="AK217" s="143">
        <f>SUM(G218:AG218)</f>
        <v>0</v>
      </c>
      <c r="AL217" s="143"/>
      <c r="AM217" s="131">
        <f>IF(AK217=0,0,Таблиця!CN267)</f>
        <v>0</v>
      </c>
      <c r="AN217" s="129">
        <f>AK217*AM217</f>
        <v>0</v>
      </c>
      <c r="AO217" s="16"/>
      <c r="AP217" s="16"/>
      <c r="AQ217" s="102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DE217" s="54"/>
    </row>
    <row r="218" spans="1:109" ht="30.75" customHeight="1" hidden="1">
      <c r="A218" s="136"/>
      <c r="B218" s="137"/>
      <c r="C218" s="137"/>
      <c r="D218" s="137"/>
      <c r="E218" s="138"/>
      <c r="F218" s="107" t="s">
        <v>96</v>
      </c>
      <c r="G218" s="75">
        <f aca="true" t="shared" si="251" ref="G218:AG218">IF(G217=0,"",завтракл*G217/1000)</f>
      </c>
      <c r="H218" s="23">
        <f t="shared" si="251"/>
      </c>
      <c r="I218" s="23"/>
      <c r="J218" s="23">
        <f t="shared" si="251"/>
      </c>
      <c r="K218" s="23">
        <f t="shared" si="251"/>
      </c>
      <c r="L218" s="122">
        <f t="shared" si="251"/>
      </c>
      <c r="M218" s="75">
        <f t="shared" si="251"/>
      </c>
      <c r="N218" s="83">
        <f t="shared" si="251"/>
      </c>
      <c r="O218" s="75">
        <f t="shared" si="251"/>
      </c>
      <c r="P218" s="23">
        <f t="shared" si="251"/>
      </c>
      <c r="Q218" s="23">
        <f t="shared" si="251"/>
      </c>
      <c r="R218" s="23">
        <f t="shared" si="251"/>
      </c>
      <c r="S218" s="23">
        <f t="shared" si="251"/>
      </c>
      <c r="T218" s="23">
        <f t="shared" si="251"/>
      </c>
      <c r="U218" s="23">
        <f t="shared" si="251"/>
      </c>
      <c r="V218" s="83">
        <f t="shared" si="251"/>
      </c>
      <c r="W218" s="25">
        <f t="shared" si="251"/>
      </c>
      <c r="X218" s="23"/>
      <c r="Y218" s="83">
        <f t="shared" si="251"/>
      </c>
      <c r="Z218" s="25">
        <f t="shared" si="251"/>
      </c>
      <c r="AA218" s="23">
        <f t="shared" si="251"/>
      </c>
      <c r="AB218" s="23">
        <f t="shared" si="251"/>
      </c>
      <c r="AC218" s="23">
        <f t="shared" si="251"/>
      </c>
      <c r="AD218" s="23">
        <f t="shared" si="251"/>
      </c>
      <c r="AE218" s="23">
        <f t="shared" si="251"/>
      </c>
      <c r="AF218" s="23">
        <f t="shared" si="251"/>
      </c>
      <c r="AG218" s="83">
        <f t="shared" si="251"/>
      </c>
      <c r="AH218" s="254"/>
      <c r="AI218" s="139"/>
      <c r="AJ218" s="140"/>
      <c r="AK218" s="143"/>
      <c r="AL218" s="143"/>
      <c r="AM218" s="132"/>
      <c r="AN218" s="130"/>
      <c r="AO218" s="16"/>
      <c r="AP218" s="16"/>
      <c r="AQ218" s="102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DE218" s="54"/>
    </row>
    <row r="219" spans="1:109" ht="30.75" customHeight="1" hidden="1">
      <c r="A219" s="133" t="s">
        <v>450</v>
      </c>
      <c r="B219" s="134"/>
      <c r="C219" s="134"/>
      <c r="D219" s="134"/>
      <c r="E219" s="135"/>
      <c r="F219" s="106" t="s">
        <v>95</v>
      </c>
      <c r="G219" s="71">
        <f>VLOOKUP(завтрак1,таб,92,FALSE)</f>
        <v>0</v>
      </c>
      <c r="H219" s="26">
        <f>VLOOKUP(завтрак2,таб,92,FALSE)</f>
        <v>0</v>
      </c>
      <c r="I219" s="26"/>
      <c r="J219" s="26">
        <f>VLOOKUP(завтрак4,таб,92,FALSE)</f>
        <v>0</v>
      </c>
      <c r="K219" s="26">
        <f>VLOOKUP(завтрак5,таб,92,FALSE)</f>
        <v>0</v>
      </c>
      <c r="L219" s="116">
        <f>VLOOKUP(завтрак6,таб,92,FALSE)</f>
        <v>0</v>
      </c>
      <c r="M219" s="71">
        <f>VLOOKUP(завтрак7,таб,92,FALSE)</f>
        <v>0</v>
      </c>
      <c r="N219" s="81">
        <f>VLOOKUP(завтрак8,таб,92,FALSE)</f>
        <v>0</v>
      </c>
      <c r="O219" s="34">
        <f>VLOOKUP(обед1,таб,92,FALSE)</f>
        <v>0</v>
      </c>
      <c r="P219" s="33">
        <f>VLOOKUP(обед2,таб,92,FALSE)</f>
        <v>0</v>
      </c>
      <c r="Q219" s="33">
        <f>VLOOKUP(обед3,таб,92,FALSE)</f>
        <v>0</v>
      </c>
      <c r="R219" s="33">
        <f>VLOOKUP(обед4,таб,92,FALSE)</f>
        <v>0</v>
      </c>
      <c r="S219" s="33">
        <f>VLOOKUP(обед5,таб,92,FALSE)</f>
        <v>0</v>
      </c>
      <c r="T219" s="33">
        <f>VLOOKUP(обед6,таб,92,FALSE)</f>
        <v>0</v>
      </c>
      <c r="U219" s="33">
        <f>VLOOKUP(обед7,таб,92,FALSE)</f>
        <v>0</v>
      </c>
      <c r="V219" s="87">
        <f>VLOOKUP(обед8,таб,92,FALSE)</f>
        <v>0</v>
      </c>
      <c r="W219" s="34">
        <f>VLOOKUP(полдник1,таб,92,FALSE)</f>
        <v>0</v>
      </c>
      <c r="X219" s="33"/>
      <c r="Y219" s="87">
        <f>VLOOKUP(полдник3,таб,92,FALSE)</f>
        <v>0</v>
      </c>
      <c r="Z219" s="34">
        <f>VLOOKUP(ужин1,таб,92,FALSE)</f>
        <v>0</v>
      </c>
      <c r="AA219" s="33">
        <f>VLOOKUP(ужин2,таб,92,FALSE)</f>
        <v>0</v>
      </c>
      <c r="AB219" s="33">
        <f>VLOOKUP(ужин3,таб,92,FALSE)</f>
        <v>0</v>
      </c>
      <c r="AC219" s="33">
        <f>VLOOKUP(ужин4,таб,92,FALSE)</f>
        <v>0</v>
      </c>
      <c r="AD219" s="33">
        <f>VLOOKUP(ужин5,таб,92,FALSE)</f>
        <v>0</v>
      </c>
      <c r="AE219" s="33">
        <f>VLOOKUP(ужин6,таб,92,FALSE)</f>
        <v>0</v>
      </c>
      <c r="AF219" s="33">
        <f>VLOOKUP(ужин7,таб,92,FALSE)</f>
        <v>0</v>
      </c>
      <c r="AG219" s="87">
        <f>VLOOKUP(ужин8,таб,92,FALSE)</f>
        <v>0</v>
      </c>
      <c r="AH219" s="253"/>
      <c r="AI219" s="139">
        <f>AK219/сред</f>
        <v>0</v>
      </c>
      <c r="AJ219" s="140"/>
      <c r="AK219" s="143">
        <f>SUM(G220:AG220)</f>
        <v>0</v>
      </c>
      <c r="AL219" s="143"/>
      <c r="AM219" s="131">
        <f>IF(AK219=0,0,Таблиця!CO267)</f>
        <v>0</v>
      </c>
      <c r="AN219" s="129">
        <f>AK219*AM219</f>
        <v>0</v>
      </c>
      <c r="AO219" s="16"/>
      <c r="AP219" s="16"/>
      <c r="AQ219" s="102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DE219" s="54"/>
    </row>
    <row r="220" spans="1:109" ht="30.75" customHeight="1" hidden="1">
      <c r="A220" s="136"/>
      <c r="B220" s="137"/>
      <c r="C220" s="137"/>
      <c r="D220" s="137"/>
      <c r="E220" s="138"/>
      <c r="F220" s="107" t="s">
        <v>96</v>
      </c>
      <c r="G220" s="75">
        <f aca="true" t="shared" si="252" ref="G220:AG220">IF(G219=0,"",завтракл*G219/1000)</f>
      </c>
      <c r="H220" s="23">
        <f t="shared" si="252"/>
      </c>
      <c r="I220" s="23"/>
      <c r="J220" s="23">
        <f t="shared" si="252"/>
      </c>
      <c r="K220" s="23">
        <f t="shared" si="252"/>
      </c>
      <c r="L220" s="122">
        <f t="shared" si="252"/>
      </c>
      <c r="M220" s="75">
        <f t="shared" si="252"/>
      </c>
      <c r="N220" s="83">
        <f t="shared" si="252"/>
      </c>
      <c r="O220" s="75">
        <f t="shared" si="252"/>
      </c>
      <c r="P220" s="23">
        <f t="shared" si="252"/>
      </c>
      <c r="Q220" s="23">
        <f t="shared" si="252"/>
      </c>
      <c r="R220" s="23">
        <f t="shared" si="252"/>
      </c>
      <c r="S220" s="23">
        <f t="shared" si="252"/>
      </c>
      <c r="T220" s="23">
        <f t="shared" si="252"/>
      </c>
      <c r="U220" s="23">
        <f t="shared" si="252"/>
      </c>
      <c r="V220" s="83">
        <f t="shared" si="252"/>
      </c>
      <c r="W220" s="25">
        <f t="shared" si="252"/>
      </c>
      <c r="X220" s="23"/>
      <c r="Y220" s="83">
        <f t="shared" si="252"/>
      </c>
      <c r="Z220" s="25">
        <f t="shared" si="252"/>
      </c>
      <c r="AA220" s="23">
        <f t="shared" si="252"/>
      </c>
      <c r="AB220" s="23">
        <f t="shared" si="252"/>
      </c>
      <c r="AC220" s="23">
        <f t="shared" si="252"/>
      </c>
      <c r="AD220" s="23">
        <f t="shared" si="252"/>
      </c>
      <c r="AE220" s="23">
        <f t="shared" si="252"/>
      </c>
      <c r="AF220" s="23">
        <f t="shared" si="252"/>
      </c>
      <c r="AG220" s="83">
        <f t="shared" si="252"/>
      </c>
      <c r="AH220" s="254"/>
      <c r="AI220" s="139"/>
      <c r="AJ220" s="140"/>
      <c r="AK220" s="143"/>
      <c r="AL220" s="143"/>
      <c r="AM220" s="132"/>
      <c r="AN220" s="130"/>
      <c r="AO220" s="16"/>
      <c r="AP220" s="16"/>
      <c r="AQ220" s="102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DE220" s="54"/>
    </row>
    <row r="221" spans="1:109" ht="30.75" customHeight="1" hidden="1">
      <c r="A221" s="133" t="s">
        <v>451</v>
      </c>
      <c r="B221" s="134"/>
      <c r="C221" s="134"/>
      <c r="D221" s="134"/>
      <c r="E221" s="135"/>
      <c r="F221" s="106" t="s">
        <v>95</v>
      </c>
      <c r="G221" s="71">
        <f>VLOOKUP(завтрак1,таб,93,FALSE)</f>
        <v>0</v>
      </c>
      <c r="H221" s="26">
        <f>VLOOKUP(завтрак2,таб,93,FALSE)</f>
        <v>0</v>
      </c>
      <c r="I221" s="26"/>
      <c r="J221" s="26">
        <f>VLOOKUP(завтрак4,таб,93,FALSE)</f>
        <v>0</v>
      </c>
      <c r="K221" s="26">
        <f>VLOOKUP(завтрак5,таб,93,FALSE)</f>
        <v>0</v>
      </c>
      <c r="L221" s="116">
        <f>VLOOKUP(завтрак6,таб,93,FALSE)</f>
        <v>0</v>
      </c>
      <c r="M221" s="71">
        <f>VLOOKUP(завтрак7,таб,93,FALSE)</f>
        <v>0</v>
      </c>
      <c r="N221" s="81">
        <f>VLOOKUP(завтрак8,таб,93,FALSE)</f>
        <v>0</v>
      </c>
      <c r="O221" s="34">
        <f>VLOOKUP(обед1,таб,93,FALSE)</f>
        <v>0</v>
      </c>
      <c r="P221" s="33">
        <f>VLOOKUP(обед2,таб,93,FALSE)</f>
        <v>0</v>
      </c>
      <c r="Q221" s="33">
        <f>VLOOKUP(обед3,таб,93,FALSE)</f>
        <v>0</v>
      </c>
      <c r="R221" s="33">
        <f>VLOOKUP(обед4,таб,93,FALSE)</f>
        <v>0</v>
      </c>
      <c r="S221" s="33">
        <f>VLOOKUP(обед5,таб,93,FALSE)</f>
        <v>0</v>
      </c>
      <c r="T221" s="33">
        <f>VLOOKUP(обед6,таб,93,FALSE)</f>
        <v>0</v>
      </c>
      <c r="U221" s="33">
        <f>VLOOKUP(обед7,таб,93,FALSE)</f>
        <v>0</v>
      </c>
      <c r="V221" s="87">
        <f>VLOOKUP(обед8,таб,93,FALSE)</f>
        <v>0</v>
      </c>
      <c r="W221" s="34">
        <f>VLOOKUP(полдник1,таб,93,FALSE)</f>
        <v>0</v>
      </c>
      <c r="X221" s="33"/>
      <c r="Y221" s="87">
        <f>VLOOKUP(полдник3,таб,93,FALSE)</f>
        <v>0</v>
      </c>
      <c r="Z221" s="34">
        <f>VLOOKUP(ужин1,таб,93,FALSE)</f>
        <v>0</v>
      </c>
      <c r="AA221" s="33">
        <f>VLOOKUP(ужин2,таб,93,FALSE)</f>
        <v>0</v>
      </c>
      <c r="AB221" s="33">
        <f>VLOOKUP(ужин3,таб,93,FALSE)</f>
        <v>0</v>
      </c>
      <c r="AC221" s="33">
        <f>VLOOKUP(ужин4,таб,93,FALSE)</f>
        <v>0</v>
      </c>
      <c r="AD221" s="33">
        <f>VLOOKUP(ужин5,таб,93,FALSE)</f>
        <v>0</v>
      </c>
      <c r="AE221" s="33">
        <f>VLOOKUP(ужин6,таб,93,FALSE)</f>
        <v>0</v>
      </c>
      <c r="AF221" s="33">
        <f>VLOOKUP(ужин7,таб,93,FALSE)</f>
        <v>0</v>
      </c>
      <c r="AG221" s="87">
        <f>VLOOKUP(ужин8,таб,93,FALSE)</f>
        <v>0</v>
      </c>
      <c r="AH221" s="253"/>
      <c r="AI221" s="139">
        <f>AK221/сред</f>
        <v>0</v>
      </c>
      <c r="AJ221" s="140"/>
      <c r="AK221" s="143">
        <f>SUM(G222:AG222)</f>
        <v>0</v>
      </c>
      <c r="AL221" s="143"/>
      <c r="AM221" s="131">
        <f>IF(AK221=0,0,Таблиця!CP267)</f>
        <v>0</v>
      </c>
      <c r="AN221" s="129">
        <f>AK221*AM221</f>
        <v>0</v>
      </c>
      <c r="AO221" s="16"/>
      <c r="AP221" s="16"/>
      <c r="AQ221" s="102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DE221" s="54"/>
    </row>
    <row r="222" spans="1:109" ht="30.75" customHeight="1" hidden="1">
      <c r="A222" s="136"/>
      <c r="B222" s="137"/>
      <c r="C222" s="137"/>
      <c r="D222" s="137"/>
      <c r="E222" s="138"/>
      <c r="F222" s="107" t="s">
        <v>96</v>
      </c>
      <c r="G222" s="75">
        <f aca="true" t="shared" si="253" ref="G222:AG222">IF(G221=0,"",завтракл*G221/1000)</f>
      </c>
      <c r="H222" s="23">
        <f t="shared" si="253"/>
      </c>
      <c r="I222" s="23"/>
      <c r="J222" s="23">
        <f t="shared" si="253"/>
      </c>
      <c r="K222" s="23">
        <f t="shared" si="253"/>
      </c>
      <c r="L222" s="122">
        <f t="shared" si="253"/>
      </c>
      <c r="M222" s="75">
        <f t="shared" si="253"/>
      </c>
      <c r="N222" s="83">
        <f t="shared" si="253"/>
      </c>
      <c r="O222" s="75">
        <f t="shared" si="253"/>
      </c>
      <c r="P222" s="23">
        <f t="shared" si="253"/>
      </c>
      <c r="Q222" s="23">
        <f t="shared" si="253"/>
      </c>
      <c r="R222" s="23">
        <f t="shared" si="253"/>
      </c>
      <c r="S222" s="23">
        <f t="shared" si="253"/>
      </c>
      <c r="T222" s="23">
        <f t="shared" si="253"/>
      </c>
      <c r="U222" s="23">
        <f t="shared" si="253"/>
      </c>
      <c r="V222" s="83">
        <f t="shared" si="253"/>
      </c>
      <c r="W222" s="25">
        <f t="shared" si="253"/>
      </c>
      <c r="X222" s="23"/>
      <c r="Y222" s="83">
        <f t="shared" si="253"/>
      </c>
      <c r="Z222" s="25">
        <f t="shared" si="253"/>
      </c>
      <c r="AA222" s="23">
        <f t="shared" si="253"/>
      </c>
      <c r="AB222" s="23">
        <f t="shared" si="253"/>
      </c>
      <c r="AC222" s="23">
        <f t="shared" si="253"/>
      </c>
      <c r="AD222" s="23">
        <f t="shared" si="253"/>
      </c>
      <c r="AE222" s="23">
        <f t="shared" si="253"/>
      </c>
      <c r="AF222" s="23">
        <f t="shared" si="253"/>
      </c>
      <c r="AG222" s="83">
        <f t="shared" si="253"/>
      </c>
      <c r="AH222" s="254"/>
      <c r="AI222" s="139"/>
      <c r="AJ222" s="140"/>
      <c r="AK222" s="143"/>
      <c r="AL222" s="143"/>
      <c r="AM222" s="132"/>
      <c r="AN222" s="130"/>
      <c r="AO222" s="16"/>
      <c r="AP222" s="16"/>
      <c r="AQ222" s="102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DE222" s="54"/>
    </row>
    <row r="223" spans="1:109" ht="30.75" customHeight="1" hidden="1">
      <c r="A223" s="133" t="s">
        <v>452</v>
      </c>
      <c r="B223" s="134"/>
      <c r="C223" s="134"/>
      <c r="D223" s="134"/>
      <c r="E223" s="135"/>
      <c r="F223" s="106" t="s">
        <v>95</v>
      </c>
      <c r="G223" s="71">
        <f>VLOOKUP(завтрак1,таб,94,FALSE)</f>
        <v>0</v>
      </c>
      <c r="H223" s="26">
        <f>VLOOKUP(завтрак2,таб,94,FALSE)</f>
        <v>0</v>
      </c>
      <c r="I223" s="26"/>
      <c r="J223" s="26">
        <f>VLOOKUP(завтрак4,таб,94,FALSE)</f>
        <v>0</v>
      </c>
      <c r="K223" s="26">
        <f>VLOOKUP(завтрак5,таб,94,FALSE)</f>
        <v>0</v>
      </c>
      <c r="L223" s="116">
        <f>VLOOKUP(завтрак6,таб,94,FALSE)</f>
        <v>0</v>
      </c>
      <c r="M223" s="71">
        <f>VLOOKUP(завтрак7,таб,94,FALSE)</f>
        <v>0</v>
      </c>
      <c r="N223" s="81">
        <f>VLOOKUP(завтрак8,таб,94,FALSE)</f>
        <v>0</v>
      </c>
      <c r="O223" s="34">
        <f>VLOOKUP(обед1,таб,94,FALSE)</f>
        <v>0</v>
      </c>
      <c r="P223" s="33">
        <f>VLOOKUP(обед2,таб,94,FALSE)</f>
        <v>0</v>
      </c>
      <c r="Q223" s="33">
        <f>VLOOKUP(обед3,таб,94,FALSE)</f>
        <v>0</v>
      </c>
      <c r="R223" s="33">
        <f>VLOOKUP(обед4,таб,94,FALSE)</f>
        <v>0</v>
      </c>
      <c r="S223" s="33">
        <f>VLOOKUP(обед5,таб,94,FALSE)</f>
        <v>0</v>
      </c>
      <c r="T223" s="33">
        <f>VLOOKUP(обед6,таб,94,FALSE)</f>
        <v>0</v>
      </c>
      <c r="U223" s="33">
        <f>VLOOKUP(обед7,таб,94,FALSE)</f>
        <v>0</v>
      </c>
      <c r="V223" s="87">
        <f>VLOOKUP(обед8,таб,94,FALSE)</f>
        <v>0</v>
      </c>
      <c r="W223" s="34">
        <f>VLOOKUP(полдник1,таб,94,FALSE)</f>
        <v>0</v>
      </c>
      <c r="X223" s="33"/>
      <c r="Y223" s="87">
        <f>VLOOKUP(полдник3,таб,94,FALSE)</f>
        <v>0</v>
      </c>
      <c r="Z223" s="34">
        <f>VLOOKUP(ужин1,таб,94,FALSE)</f>
        <v>0</v>
      </c>
      <c r="AA223" s="33">
        <f>VLOOKUP(ужин2,таб,94,FALSE)</f>
        <v>0</v>
      </c>
      <c r="AB223" s="33">
        <f>VLOOKUP(ужин3,таб,94,FALSE)</f>
        <v>0</v>
      </c>
      <c r="AC223" s="33">
        <f>VLOOKUP(ужин4,таб,94,FALSE)</f>
        <v>0</v>
      </c>
      <c r="AD223" s="33">
        <f>VLOOKUP(ужин5,таб,94,FALSE)</f>
        <v>0</v>
      </c>
      <c r="AE223" s="33">
        <f>VLOOKUP(ужин6,таб,94,FALSE)</f>
        <v>0</v>
      </c>
      <c r="AF223" s="33">
        <f>VLOOKUP(ужин7,таб,94,FALSE)</f>
        <v>0</v>
      </c>
      <c r="AG223" s="87">
        <f>VLOOKUP(ужин8,таб,94,FALSE)</f>
        <v>0</v>
      </c>
      <c r="AH223" s="253"/>
      <c r="AI223" s="139">
        <f>AK223/сред</f>
        <v>0</v>
      </c>
      <c r="AJ223" s="140"/>
      <c r="AK223" s="143">
        <f>SUM(G224:AG224)</f>
        <v>0</v>
      </c>
      <c r="AL223" s="143"/>
      <c r="AM223" s="131">
        <f>IF(AK223=0,0,Таблиця!CQ267)</f>
        <v>0</v>
      </c>
      <c r="AN223" s="129">
        <f>AK223*AM223</f>
        <v>0</v>
      </c>
      <c r="AO223" s="16"/>
      <c r="AP223" s="16"/>
      <c r="AQ223" s="102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DE223" s="54"/>
    </row>
    <row r="224" spans="1:109" ht="30.75" customHeight="1" hidden="1">
      <c r="A224" s="136"/>
      <c r="B224" s="137"/>
      <c r="C224" s="137"/>
      <c r="D224" s="137"/>
      <c r="E224" s="138"/>
      <c r="F224" s="107" t="s">
        <v>96</v>
      </c>
      <c r="G224" s="75">
        <f aca="true" t="shared" si="254" ref="G224:AG224">IF(G223=0,"",завтракл*G223/1000)</f>
      </c>
      <c r="H224" s="23">
        <f t="shared" si="254"/>
      </c>
      <c r="I224" s="23"/>
      <c r="J224" s="23">
        <f t="shared" si="254"/>
      </c>
      <c r="K224" s="23">
        <f t="shared" si="254"/>
      </c>
      <c r="L224" s="122">
        <f t="shared" si="254"/>
      </c>
      <c r="M224" s="75">
        <f t="shared" si="254"/>
      </c>
      <c r="N224" s="83">
        <f t="shared" si="254"/>
      </c>
      <c r="O224" s="75">
        <f t="shared" si="254"/>
      </c>
      <c r="P224" s="23">
        <f t="shared" si="254"/>
      </c>
      <c r="Q224" s="23">
        <f t="shared" si="254"/>
      </c>
      <c r="R224" s="23">
        <f t="shared" si="254"/>
      </c>
      <c r="S224" s="23">
        <f t="shared" si="254"/>
      </c>
      <c r="T224" s="23">
        <f t="shared" si="254"/>
      </c>
      <c r="U224" s="23">
        <f t="shared" si="254"/>
      </c>
      <c r="V224" s="83">
        <f t="shared" si="254"/>
      </c>
      <c r="W224" s="25">
        <f t="shared" si="254"/>
      </c>
      <c r="X224" s="23"/>
      <c r="Y224" s="83">
        <f t="shared" si="254"/>
      </c>
      <c r="Z224" s="25">
        <f t="shared" si="254"/>
      </c>
      <c r="AA224" s="23">
        <f t="shared" si="254"/>
      </c>
      <c r="AB224" s="23">
        <f t="shared" si="254"/>
      </c>
      <c r="AC224" s="23">
        <f t="shared" si="254"/>
      </c>
      <c r="AD224" s="23">
        <f t="shared" si="254"/>
      </c>
      <c r="AE224" s="23">
        <f t="shared" si="254"/>
      </c>
      <c r="AF224" s="23">
        <f t="shared" si="254"/>
      </c>
      <c r="AG224" s="83">
        <f t="shared" si="254"/>
      </c>
      <c r="AH224" s="254"/>
      <c r="AI224" s="139"/>
      <c r="AJ224" s="140"/>
      <c r="AK224" s="143"/>
      <c r="AL224" s="143"/>
      <c r="AM224" s="132"/>
      <c r="AN224" s="130"/>
      <c r="AO224" s="16"/>
      <c r="AP224" s="16"/>
      <c r="AQ224" s="102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DE224" s="54"/>
    </row>
    <row r="225" spans="1:109" ht="30.75" customHeight="1" hidden="1">
      <c r="A225" s="133" t="s">
        <v>453</v>
      </c>
      <c r="B225" s="134"/>
      <c r="C225" s="134"/>
      <c r="D225" s="134"/>
      <c r="E225" s="135"/>
      <c r="F225" s="106" t="s">
        <v>95</v>
      </c>
      <c r="G225" s="71">
        <f>VLOOKUP(завтрак1,таб,95,FALSE)</f>
        <v>0</v>
      </c>
      <c r="H225" s="26">
        <f>VLOOKUP(завтрак2,таб,95,FALSE)</f>
        <v>0</v>
      </c>
      <c r="I225" s="26"/>
      <c r="J225" s="26">
        <f>VLOOKUP(завтрак4,таб,95,FALSE)</f>
        <v>0</v>
      </c>
      <c r="K225" s="26">
        <f>VLOOKUP(завтрак5,таб,95,FALSE)</f>
        <v>0</v>
      </c>
      <c r="L225" s="116">
        <f>VLOOKUP(завтрак6,таб,95,FALSE)</f>
        <v>0</v>
      </c>
      <c r="M225" s="71">
        <f>VLOOKUP(завтрак7,таб,95,FALSE)</f>
        <v>0</v>
      </c>
      <c r="N225" s="81">
        <f>VLOOKUP(завтрак8,таб,95,FALSE)</f>
        <v>0</v>
      </c>
      <c r="O225" s="34">
        <f>VLOOKUP(обед1,таб,95,FALSE)</f>
        <v>0</v>
      </c>
      <c r="P225" s="33">
        <f>VLOOKUP(обед2,таб,95,FALSE)</f>
        <v>0</v>
      </c>
      <c r="Q225" s="33">
        <f>VLOOKUP(обед3,таб,95,FALSE)</f>
        <v>0</v>
      </c>
      <c r="R225" s="33">
        <f>VLOOKUP(обед4,таб,95,FALSE)</f>
        <v>0</v>
      </c>
      <c r="S225" s="33">
        <f>VLOOKUP(обед5,таб,95,FALSE)</f>
        <v>0</v>
      </c>
      <c r="T225" s="33">
        <f>VLOOKUP(обед6,таб,95,FALSE)</f>
        <v>0</v>
      </c>
      <c r="U225" s="33">
        <f>VLOOKUP(обед7,таб,95,FALSE)</f>
        <v>0</v>
      </c>
      <c r="V225" s="87">
        <f>VLOOKUP(обед8,таб,95,FALSE)</f>
        <v>0</v>
      </c>
      <c r="W225" s="34">
        <f>VLOOKUP(полдник1,таб,95,FALSE)</f>
        <v>0</v>
      </c>
      <c r="X225" s="33"/>
      <c r="Y225" s="87">
        <f>VLOOKUP(полдник3,таб,95,FALSE)</f>
        <v>0</v>
      </c>
      <c r="Z225" s="34">
        <f>VLOOKUP(ужин1,таб,95,FALSE)</f>
        <v>0</v>
      </c>
      <c r="AA225" s="33">
        <f>VLOOKUP(ужин2,таб,95,FALSE)</f>
        <v>0</v>
      </c>
      <c r="AB225" s="33">
        <f>VLOOKUP(ужин3,таб,95,FALSE)</f>
        <v>0</v>
      </c>
      <c r="AC225" s="33">
        <f>VLOOKUP(ужин4,таб,95,FALSE)</f>
        <v>0</v>
      </c>
      <c r="AD225" s="33">
        <f>VLOOKUP(ужин5,таб,95,FALSE)</f>
        <v>0</v>
      </c>
      <c r="AE225" s="33">
        <f>VLOOKUP(ужин6,таб,95,FALSE)</f>
        <v>0</v>
      </c>
      <c r="AF225" s="33">
        <f>VLOOKUP(ужин7,таб,95,FALSE)</f>
        <v>0</v>
      </c>
      <c r="AG225" s="87">
        <f>VLOOKUP(ужин8,таб,95,FALSE)</f>
        <v>0</v>
      </c>
      <c r="AH225" s="253"/>
      <c r="AI225" s="139">
        <f>AK225/сред</f>
        <v>0</v>
      </c>
      <c r="AJ225" s="140"/>
      <c r="AK225" s="143">
        <f>SUM(G226:AG226)</f>
        <v>0</v>
      </c>
      <c r="AL225" s="143"/>
      <c r="AM225" s="131">
        <f>IF(AK225=0,0,Таблиця!CR267)</f>
        <v>0</v>
      </c>
      <c r="AN225" s="129">
        <f>AK225*AM225</f>
        <v>0</v>
      </c>
      <c r="AO225" s="16"/>
      <c r="AP225" s="16"/>
      <c r="AQ225" s="102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DE225" s="54"/>
    </row>
    <row r="226" spans="1:109" ht="30.75" customHeight="1" hidden="1">
      <c r="A226" s="136"/>
      <c r="B226" s="137"/>
      <c r="C226" s="137"/>
      <c r="D226" s="137"/>
      <c r="E226" s="138"/>
      <c r="F226" s="107" t="s">
        <v>96</v>
      </c>
      <c r="G226" s="75">
        <f aca="true" t="shared" si="255" ref="G226:AG226">IF(G225=0,"",завтракл*G225/1000)</f>
      </c>
      <c r="H226" s="23">
        <f t="shared" si="255"/>
      </c>
      <c r="I226" s="23"/>
      <c r="J226" s="23">
        <f t="shared" si="255"/>
      </c>
      <c r="K226" s="23">
        <f t="shared" si="255"/>
      </c>
      <c r="L226" s="122">
        <f t="shared" si="255"/>
      </c>
      <c r="M226" s="75">
        <f t="shared" si="255"/>
      </c>
      <c r="N226" s="83">
        <f t="shared" si="255"/>
      </c>
      <c r="O226" s="75">
        <f t="shared" si="255"/>
      </c>
      <c r="P226" s="23">
        <f t="shared" si="255"/>
      </c>
      <c r="Q226" s="23">
        <f t="shared" si="255"/>
      </c>
      <c r="R226" s="23">
        <f t="shared" si="255"/>
      </c>
      <c r="S226" s="23">
        <f t="shared" si="255"/>
      </c>
      <c r="T226" s="23">
        <f t="shared" si="255"/>
      </c>
      <c r="U226" s="23">
        <f t="shared" si="255"/>
      </c>
      <c r="V226" s="83">
        <f t="shared" si="255"/>
      </c>
      <c r="W226" s="25">
        <f t="shared" si="255"/>
      </c>
      <c r="X226" s="23"/>
      <c r="Y226" s="83">
        <f t="shared" si="255"/>
      </c>
      <c r="Z226" s="25">
        <f t="shared" si="255"/>
      </c>
      <c r="AA226" s="23">
        <f t="shared" si="255"/>
      </c>
      <c r="AB226" s="23">
        <f t="shared" si="255"/>
      </c>
      <c r="AC226" s="23">
        <f t="shared" si="255"/>
      </c>
      <c r="AD226" s="23">
        <f t="shared" si="255"/>
      </c>
      <c r="AE226" s="23">
        <f t="shared" si="255"/>
      </c>
      <c r="AF226" s="23">
        <f t="shared" si="255"/>
      </c>
      <c r="AG226" s="83">
        <f t="shared" si="255"/>
      </c>
      <c r="AH226" s="254"/>
      <c r="AI226" s="139"/>
      <c r="AJ226" s="140"/>
      <c r="AK226" s="143"/>
      <c r="AL226" s="143"/>
      <c r="AM226" s="132"/>
      <c r="AN226" s="130"/>
      <c r="AO226" s="16"/>
      <c r="AP226" s="16"/>
      <c r="AQ226" s="102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DE226" s="54"/>
    </row>
    <row r="227" spans="1:109" ht="30.75" customHeight="1" hidden="1">
      <c r="A227" s="133" t="s">
        <v>454</v>
      </c>
      <c r="B227" s="134"/>
      <c r="C227" s="134"/>
      <c r="D227" s="134"/>
      <c r="E227" s="135"/>
      <c r="F227" s="106" t="s">
        <v>95</v>
      </c>
      <c r="G227" s="71">
        <f>VLOOKUP(завтрак1,таб,96,FALSE)</f>
        <v>0</v>
      </c>
      <c r="H227" s="26">
        <f>VLOOKUP(завтрак2,таб,96,FALSE)</f>
        <v>0</v>
      </c>
      <c r="I227" s="26"/>
      <c r="J227" s="26">
        <f>VLOOKUP(завтрак4,таб,96,FALSE)</f>
        <v>0</v>
      </c>
      <c r="K227" s="26">
        <f>VLOOKUP(завтрак5,таб,96,FALSE)</f>
        <v>0</v>
      </c>
      <c r="L227" s="116">
        <f>VLOOKUP(завтрак6,таб,96,FALSE)</f>
        <v>0</v>
      </c>
      <c r="M227" s="71">
        <f>VLOOKUP(завтрак7,таб,96,FALSE)</f>
        <v>0</v>
      </c>
      <c r="N227" s="81">
        <f>VLOOKUP(завтрак8,таб,96,FALSE)</f>
        <v>0</v>
      </c>
      <c r="O227" s="34">
        <f>VLOOKUP(обед1,таб,96,FALSE)</f>
        <v>0</v>
      </c>
      <c r="P227" s="33">
        <f>VLOOKUP(обед2,таб,96,FALSE)</f>
        <v>0</v>
      </c>
      <c r="Q227" s="33">
        <f>VLOOKUP(обед3,таб,96,FALSE)</f>
        <v>0</v>
      </c>
      <c r="R227" s="33">
        <f>VLOOKUP(обед4,таб,96,FALSE)</f>
        <v>0</v>
      </c>
      <c r="S227" s="33">
        <f>VLOOKUP(обед5,таб,96,FALSE)</f>
        <v>0</v>
      </c>
      <c r="T227" s="33">
        <f>VLOOKUP(обед6,таб,96,FALSE)</f>
        <v>0</v>
      </c>
      <c r="U227" s="33">
        <f>VLOOKUP(обед7,таб,96,FALSE)</f>
        <v>0</v>
      </c>
      <c r="V227" s="87">
        <f>VLOOKUP(обед8,таб,96,FALSE)</f>
        <v>0</v>
      </c>
      <c r="W227" s="34">
        <f>VLOOKUP(полдник1,таб,96,FALSE)</f>
        <v>0</v>
      </c>
      <c r="X227" s="33"/>
      <c r="Y227" s="87">
        <f>VLOOKUP(полдник3,таб,96,FALSE)</f>
        <v>0</v>
      </c>
      <c r="Z227" s="34">
        <f>VLOOKUP(ужин1,таб,96,FALSE)</f>
        <v>0</v>
      </c>
      <c r="AA227" s="33">
        <f>VLOOKUP(ужин2,таб,96,FALSE)</f>
        <v>0</v>
      </c>
      <c r="AB227" s="33">
        <f>VLOOKUP(ужин3,таб,96,FALSE)</f>
        <v>0</v>
      </c>
      <c r="AC227" s="33">
        <f>VLOOKUP(ужин4,таб,96,FALSE)</f>
        <v>0</v>
      </c>
      <c r="AD227" s="33">
        <f>VLOOKUP(ужин5,таб,96,FALSE)</f>
        <v>0</v>
      </c>
      <c r="AE227" s="33">
        <f>VLOOKUP(ужин6,таб,96,FALSE)</f>
        <v>0</v>
      </c>
      <c r="AF227" s="33">
        <f>VLOOKUP(ужин7,таб,96,FALSE)</f>
        <v>0</v>
      </c>
      <c r="AG227" s="87">
        <f>VLOOKUP(ужин8,таб,96,FALSE)</f>
        <v>0</v>
      </c>
      <c r="AH227" s="253"/>
      <c r="AI227" s="139">
        <f>AK227/сред</f>
        <v>0</v>
      </c>
      <c r="AJ227" s="140"/>
      <c r="AK227" s="143">
        <f>SUM(G228:AG228)</f>
        <v>0</v>
      </c>
      <c r="AL227" s="143"/>
      <c r="AM227" s="131">
        <f>IF(AK227=0,0,Таблиця!CS267)</f>
        <v>0</v>
      </c>
      <c r="AN227" s="129">
        <f>AK227*AM227</f>
        <v>0</v>
      </c>
      <c r="AO227" s="16"/>
      <c r="AP227" s="16"/>
      <c r="AQ227" s="102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DE227" s="54"/>
    </row>
    <row r="228" spans="1:109" ht="30.75" customHeight="1" hidden="1">
      <c r="A228" s="136"/>
      <c r="B228" s="137"/>
      <c r="C228" s="137"/>
      <c r="D228" s="137"/>
      <c r="E228" s="138"/>
      <c r="F228" s="107" t="s">
        <v>96</v>
      </c>
      <c r="G228" s="75">
        <f aca="true" t="shared" si="256" ref="G228:AG228">IF(G227=0,"",завтракл*G227/1000)</f>
      </c>
      <c r="H228" s="23">
        <f t="shared" si="256"/>
      </c>
      <c r="I228" s="23"/>
      <c r="J228" s="23">
        <f t="shared" si="256"/>
      </c>
      <c r="K228" s="23">
        <f t="shared" si="256"/>
      </c>
      <c r="L228" s="122">
        <f t="shared" si="256"/>
      </c>
      <c r="M228" s="75">
        <f t="shared" si="256"/>
      </c>
      <c r="N228" s="83">
        <f t="shared" si="256"/>
      </c>
      <c r="O228" s="75">
        <f t="shared" si="256"/>
      </c>
      <c r="P228" s="23">
        <f t="shared" si="256"/>
      </c>
      <c r="Q228" s="23">
        <f t="shared" si="256"/>
      </c>
      <c r="R228" s="23">
        <f t="shared" si="256"/>
      </c>
      <c r="S228" s="23">
        <f t="shared" si="256"/>
      </c>
      <c r="T228" s="23">
        <f t="shared" si="256"/>
      </c>
      <c r="U228" s="23">
        <f t="shared" si="256"/>
      </c>
      <c r="V228" s="83">
        <f t="shared" si="256"/>
      </c>
      <c r="W228" s="25">
        <f t="shared" si="256"/>
      </c>
      <c r="X228" s="23"/>
      <c r="Y228" s="83">
        <f t="shared" si="256"/>
      </c>
      <c r="Z228" s="25">
        <f t="shared" si="256"/>
      </c>
      <c r="AA228" s="23">
        <f t="shared" si="256"/>
      </c>
      <c r="AB228" s="23">
        <f t="shared" si="256"/>
      </c>
      <c r="AC228" s="23">
        <f t="shared" si="256"/>
      </c>
      <c r="AD228" s="23">
        <f t="shared" si="256"/>
      </c>
      <c r="AE228" s="23">
        <f t="shared" si="256"/>
      </c>
      <c r="AF228" s="23">
        <f t="shared" si="256"/>
      </c>
      <c r="AG228" s="83">
        <f t="shared" si="256"/>
      </c>
      <c r="AH228" s="254"/>
      <c r="AI228" s="139"/>
      <c r="AJ228" s="140"/>
      <c r="AK228" s="143"/>
      <c r="AL228" s="143"/>
      <c r="AM228" s="132"/>
      <c r="AN228" s="130"/>
      <c r="AO228" s="16"/>
      <c r="AP228" s="16"/>
      <c r="AQ228" s="102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DE228" s="54"/>
    </row>
    <row r="229" spans="1:109" ht="30.75" customHeight="1" hidden="1">
      <c r="A229" s="133" t="s">
        <v>455</v>
      </c>
      <c r="B229" s="134"/>
      <c r="C229" s="134"/>
      <c r="D229" s="134"/>
      <c r="E229" s="135"/>
      <c r="F229" s="106" t="s">
        <v>95</v>
      </c>
      <c r="G229" s="71">
        <f>VLOOKUP(завтрак1,таб,97,FALSE)</f>
        <v>0</v>
      </c>
      <c r="H229" s="26">
        <f>VLOOKUP(завтрак2,таб,97,FALSE)</f>
        <v>0</v>
      </c>
      <c r="I229" s="26"/>
      <c r="J229" s="26">
        <f>VLOOKUP(завтрак4,таб,97,FALSE)</f>
        <v>0</v>
      </c>
      <c r="K229" s="26">
        <f>VLOOKUP(завтрак5,таб,97,FALSE)</f>
        <v>0</v>
      </c>
      <c r="L229" s="116">
        <f>VLOOKUP(завтрак6,таб,97,FALSE)</f>
        <v>0</v>
      </c>
      <c r="M229" s="71">
        <f>VLOOKUP(завтрак7,таб,97,FALSE)</f>
        <v>0</v>
      </c>
      <c r="N229" s="81">
        <f>VLOOKUP(завтрак8,таб,97,FALSE)</f>
        <v>0</v>
      </c>
      <c r="O229" s="34">
        <f>VLOOKUP(обед1,таб,97,FALSE)</f>
        <v>0</v>
      </c>
      <c r="P229" s="33">
        <f>VLOOKUP(обед2,таб,97,FALSE)</f>
        <v>0</v>
      </c>
      <c r="Q229" s="33">
        <f>VLOOKUP(обед3,таб,97,FALSE)</f>
        <v>0</v>
      </c>
      <c r="R229" s="33">
        <f>VLOOKUP(обед4,таб,97,FALSE)</f>
        <v>0</v>
      </c>
      <c r="S229" s="33">
        <f>VLOOKUP(обед5,таб,97,FALSE)</f>
        <v>0</v>
      </c>
      <c r="T229" s="33">
        <f>VLOOKUP(обед6,таб,97,FALSE)</f>
        <v>0</v>
      </c>
      <c r="U229" s="33">
        <f>VLOOKUP(обед7,таб,97,FALSE)</f>
        <v>0</v>
      </c>
      <c r="V229" s="87">
        <f>VLOOKUP(обед8,таб,97,FALSE)</f>
        <v>0</v>
      </c>
      <c r="W229" s="34">
        <f>VLOOKUP(полдник1,таб,97,FALSE)</f>
        <v>0</v>
      </c>
      <c r="X229" s="33"/>
      <c r="Y229" s="87">
        <f>VLOOKUP(полдник3,таб,97,FALSE)</f>
        <v>0</v>
      </c>
      <c r="Z229" s="34">
        <f>VLOOKUP(ужин1,таб,97,FALSE)</f>
        <v>0</v>
      </c>
      <c r="AA229" s="33">
        <f>VLOOKUP(ужин2,таб,97,FALSE)</f>
        <v>0</v>
      </c>
      <c r="AB229" s="33">
        <f>VLOOKUP(ужин3,таб,97,FALSE)</f>
        <v>0</v>
      </c>
      <c r="AC229" s="33">
        <f>VLOOKUP(ужин4,таб,97,FALSE)</f>
        <v>0</v>
      </c>
      <c r="AD229" s="33">
        <f>VLOOKUP(ужин5,таб,97,FALSE)</f>
        <v>0</v>
      </c>
      <c r="AE229" s="33">
        <f>VLOOKUP(ужин6,таб,97,FALSE)</f>
        <v>0</v>
      </c>
      <c r="AF229" s="33">
        <f>VLOOKUP(ужин7,таб,97,FALSE)</f>
        <v>0</v>
      </c>
      <c r="AG229" s="87">
        <f>VLOOKUP(ужин8,таб,97,FALSE)</f>
        <v>0</v>
      </c>
      <c r="AH229" s="253"/>
      <c r="AI229" s="139">
        <f>AK229/сред</f>
        <v>0</v>
      </c>
      <c r="AJ229" s="140"/>
      <c r="AK229" s="143">
        <f>SUM(G230:AG230)</f>
        <v>0</v>
      </c>
      <c r="AL229" s="143"/>
      <c r="AM229" s="131">
        <f>IF(AK229=0,0,Таблиця!CT267)</f>
        <v>0</v>
      </c>
      <c r="AN229" s="129">
        <f>AK229*AM229</f>
        <v>0</v>
      </c>
      <c r="AO229" s="16"/>
      <c r="AP229" s="16"/>
      <c r="AQ229" s="102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DE229" s="54"/>
    </row>
    <row r="230" spans="1:109" ht="30.75" customHeight="1" hidden="1">
      <c r="A230" s="136"/>
      <c r="B230" s="137"/>
      <c r="C230" s="137"/>
      <c r="D230" s="137"/>
      <c r="E230" s="138"/>
      <c r="F230" s="107" t="s">
        <v>96</v>
      </c>
      <c r="G230" s="75">
        <f aca="true" t="shared" si="257" ref="G230:AG230">IF(G229=0,"",завтракл*G229/1000)</f>
      </c>
      <c r="H230" s="23">
        <f t="shared" si="257"/>
      </c>
      <c r="I230" s="23"/>
      <c r="J230" s="23">
        <f t="shared" si="257"/>
      </c>
      <c r="K230" s="23">
        <f t="shared" si="257"/>
      </c>
      <c r="L230" s="122">
        <f t="shared" si="257"/>
      </c>
      <c r="M230" s="75">
        <f t="shared" si="257"/>
      </c>
      <c r="N230" s="83">
        <f t="shared" si="257"/>
      </c>
      <c r="O230" s="75">
        <f t="shared" si="257"/>
      </c>
      <c r="P230" s="23">
        <f t="shared" si="257"/>
      </c>
      <c r="Q230" s="23">
        <f t="shared" si="257"/>
      </c>
      <c r="R230" s="23">
        <f t="shared" si="257"/>
      </c>
      <c r="S230" s="23">
        <f t="shared" si="257"/>
      </c>
      <c r="T230" s="23">
        <f t="shared" si="257"/>
      </c>
      <c r="U230" s="23">
        <f t="shared" si="257"/>
      </c>
      <c r="V230" s="83">
        <f t="shared" si="257"/>
      </c>
      <c r="W230" s="25">
        <f t="shared" si="257"/>
      </c>
      <c r="X230" s="23"/>
      <c r="Y230" s="83">
        <f t="shared" si="257"/>
      </c>
      <c r="Z230" s="25">
        <f t="shared" si="257"/>
      </c>
      <c r="AA230" s="23">
        <f t="shared" si="257"/>
      </c>
      <c r="AB230" s="23">
        <f t="shared" si="257"/>
      </c>
      <c r="AC230" s="23">
        <f t="shared" si="257"/>
      </c>
      <c r="AD230" s="23">
        <f t="shared" si="257"/>
      </c>
      <c r="AE230" s="23">
        <f t="shared" si="257"/>
      </c>
      <c r="AF230" s="23">
        <f t="shared" si="257"/>
      </c>
      <c r="AG230" s="83">
        <f t="shared" si="257"/>
      </c>
      <c r="AH230" s="254"/>
      <c r="AI230" s="139"/>
      <c r="AJ230" s="140"/>
      <c r="AK230" s="143"/>
      <c r="AL230" s="143"/>
      <c r="AM230" s="132"/>
      <c r="AN230" s="130"/>
      <c r="AO230" s="16"/>
      <c r="AP230" s="16"/>
      <c r="AQ230" s="102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DE230" s="54"/>
    </row>
    <row r="231" spans="1:109" ht="30.75" customHeight="1" hidden="1">
      <c r="A231" s="133" t="s">
        <v>456</v>
      </c>
      <c r="B231" s="134"/>
      <c r="C231" s="134"/>
      <c r="D231" s="134"/>
      <c r="E231" s="135"/>
      <c r="F231" s="106" t="s">
        <v>95</v>
      </c>
      <c r="G231" s="71">
        <f>VLOOKUP(завтрак1,таб,98,FALSE)</f>
        <v>0</v>
      </c>
      <c r="H231" s="26"/>
      <c r="I231" s="26"/>
      <c r="J231" s="26">
        <f>VLOOKUP(завтрак4,таб,98,FALSE)</f>
        <v>0</v>
      </c>
      <c r="K231" s="26">
        <f>VLOOKUP(завтрак5,таб,98,FALSE)</f>
        <v>0</v>
      </c>
      <c r="L231" s="116">
        <f>VLOOKUP(завтрак6,таб,98,FALSE)</f>
        <v>0</v>
      </c>
      <c r="M231" s="71">
        <f>VLOOKUP(завтрак7,таб,98,FALSE)</f>
        <v>0</v>
      </c>
      <c r="N231" s="81">
        <f>VLOOKUP(завтрак8,таб,98,FALSE)</f>
        <v>0</v>
      </c>
      <c r="O231" s="34">
        <f>VLOOKUP(обед1,таб,98,FALSE)</f>
        <v>0</v>
      </c>
      <c r="P231" s="33">
        <f>VLOOKUP(обед2,таб,98,FALSE)</f>
        <v>0</v>
      </c>
      <c r="Q231" s="33">
        <f>VLOOKUP(обед3,таб,98,FALSE)</f>
        <v>0</v>
      </c>
      <c r="R231" s="33">
        <f>VLOOKUP(обед4,таб,98,FALSE)</f>
        <v>0</v>
      </c>
      <c r="S231" s="33">
        <f>VLOOKUP(обед5,таб,98,FALSE)</f>
        <v>0</v>
      </c>
      <c r="T231" s="33">
        <f>VLOOKUP(обед6,таб,98,FALSE)</f>
        <v>0</v>
      </c>
      <c r="U231" s="33">
        <f>VLOOKUP(обед7,таб,98,FALSE)</f>
        <v>0</v>
      </c>
      <c r="V231" s="87">
        <f>VLOOKUP(обед8,таб,98,FALSE)</f>
        <v>0</v>
      </c>
      <c r="W231" s="34">
        <f>VLOOKUP(полдник1,таб,98,FALSE)</f>
        <v>0</v>
      </c>
      <c r="X231" s="33"/>
      <c r="Y231" s="87">
        <f>VLOOKUP(полдник3,таб,98,FALSE)</f>
        <v>0</v>
      </c>
      <c r="Z231" s="34">
        <f>VLOOKUP(ужин1,таб,98,FALSE)</f>
        <v>0</v>
      </c>
      <c r="AA231" s="33">
        <f>VLOOKUP(ужин2,таб,98,FALSE)</f>
        <v>0</v>
      </c>
      <c r="AB231" s="33">
        <f>VLOOKUP(ужин3,таб,98,FALSE)</f>
        <v>0</v>
      </c>
      <c r="AC231" s="33">
        <f>VLOOKUP(ужин4,таб,98,FALSE)</f>
        <v>0</v>
      </c>
      <c r="AD231" s="33">
        <f>VLOOKUP(ужин5,таб,98,FALSE)</f>
        <v>0</v>
      </c>
      <c r="AE231" s="33">
        <f>VLOOKUP(ужин6,таб,98,FALSE)</f>
        <v>0</v>
      </c>
      <c r="AF231" s="33">
        <f>VLOOKUP(ужин7,таб,98,FALSE)</f>
        <v>0</v>
      </c>
      <c r="AG231" s="87">
        <f>VLOOKUP(ужин8,таб,98,FALSE)</f>
        <v>0</v>
      </c>
      <c r="AH231" s="253"/>
      <c r="AI231" s="139">
        <f>AK231/сред</f>
        <v>0</v>
      </c>
      <c r="AJ231" s="140"/>
      <c r="AK231" s="143">
        <f>SUM(G232:AG232)</f>
        <v>0</v>
      </c>
      <c r="AL231" s="143"/>
      <c r="AM231" s="131">
        <f>IF(AK231=0,0,Таблиця!CU267)</f>
        <v>0</v>
      </c>
      <c r="AN231" s="129">
        <f>AK231*AM231</f>
        <v>0</v>
      </c>
      <c r="AO231" s="16"/>
      <c r="AP231" s="16"/>
      <c r="AQ231" s="102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DE231" s="54"/>
    </row>
    <row r="232" spans="1:109" ht="30.75" customHeight="1" hidden="1">
      <c r="A232" s="136"/>
      <c r="B232" s="137"/>
      <c r="C232" s="137"/>
      <c r="D232" s="137"/>
      <c r="E232" s="138"/>
      <c r="F232" s="107" t="s">
        <v>96</v>
      </c>
      <c r="G232" s="75">
        <f aca="true" t="shared" si="258" ref="G232:AG232">IF(G231=0,"",завтракл*G231/1000)</f>
      </c>
      <c r="H232" s="23">
        <f t="shared" si="258"/>
      </c>
      <c r="I232" s="23"/>
      <c r="J232" s="23">
        <f t="shared" si="258"/>
      </c>
      <c r="K232" s="23">
        <f t="shared" si="258"/>
      </c>
      <c r="L232" s="122">
        <f t="shared" si="258"/>
      </c>
      <c r="M232" s="75">
        <f t="shared" si="258"/>
      </c>
      <c r="N232" s="83">
        <f t="shared" si="258"/>
      </c>
      <c r="O232" s="75">
        <f t="shared" si="258"/>
      </c>
      <c r="P232" s="23">
        <f t="shared" si="258"/>
      </c>
      <c r="Q232" s="23">
        <f t="shared" si="258"/>
      </c>
      <c r="R232" s="23">
        <f t="shared" si="258"/>
      </c>
      <c r="S232" s="23">
        <f t="shared" si="258"/>
      </c>
      <c r="T232" s="23">
        <f t="shared" si="258"/>
      </c>
      <c r="U232" s="23">
        <f t="shared" si="258"/>
      </c>
      <c r="V232" s="83">
        <f t="shared" si="258"/>
      </c>
      <c r="W232" s="25">
        <f t="shared" si="258"/>
      </c>
      <c r="X232" s="23"/>
      <c r="Y232" s="83">
        <f t="shared" si="258"/>
      </c>
      <c r="Z232" s="25">
        <f t="shared" si="258"/>
      </c>
      <c r="AA232" s="23">
        <f t="shared" si="258"/>
      </c>
      <c r="AB232" s="23">
        <f t="shared" si="258"/>
      </c>
      <c r="AC232" s="23">
        <f t="shared" si="258"/>
      </c>
      <c r="AD232" s="23">
        <f t="shared" si="258"/>
      </c>
      <c r="AE232" s="23">
        <f t="shared" si="258"/>
      </c>
      <c r="AF232" s="23">
        <f t="shared" si="258"/>
      </c>
      <c r="AG232" s="83">
        <f t="shared" si="258"/>
      </c>
      <c r="AH232" s="254"/>
      <c r="AI232" s="139"/>
      <c r="AJ232" s="140"/>
      <c r="AK232" s="143"/>
      <c r="AL232" s="143"/>
      <c r="AM232" s="132"/>
      <c r="AN232" s="130"/>
      <c r="AO232" s="16"/>
      <c r="AP232" s="16"/>
      <c r="AQ232" s="102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DE232" s="54"/>
    </row>
    <row r="233" spans="1:109" ht="30.75" customHeight="1" hidden="1">
      <c r="A233" s="133" t="s">
        <v>457</v>
      </c>
      <c r="B233" s="134"/>
      <c r="C233" s="134"/>
      <c r="D233" s="134"/>
      <c r="E233" s="135"/>
      <c r="F233" s="106" t="s">
        <v>95</v>
      </c>
      <c r="G233" s="71">
        <f>VLOOKUP(завтрак1,таб,99,FALSE)</f>
        <v>0</v>
      </c>
      <c r="H233" s="26">
        <f>VLOOKUP(завтрак2,таб,99,FALSE)</f>
        <v>0</v>
      </c>
      <c r="I233" s="26"/>
      <c r="J233" s="26">
        <f>VLOOKUP(завтрак4,таб,99,FALSE)</f>
        <v>0</v>
      </c>
      <c r="K233" s="26">
        <f>VLOOKUP(завтрак5,таб,99,FALSE)</f>
        <v>0</v>
      </c>
      <c r="L233" s="116">
        <f>VLOOKUP(завтрак6,таб,99,FALSE)</f>
        <v>0</v>
      </c>
      <c r="M233" s="71">
        <f>VLOOKUP(завтрак7,таб,99,FALSE)</f>
        <v>0</v>
      </c>
      <c r="N233" s="81">
        <f>VLOOKUP(завтрак8,таб,99,FALSE)</f>
        <v>0</v>
      </c>
      <c r="O233" s="34">
        <f>VLOOKUP(обед1,таб,99,FALSE)</f>
        <v>0</v>
      </c>
      <c r="P233" s="33">
        <f>VLOOKUP(обед2,таб,99,FALSE)</f>
        <v>0</v>
      </c>
      <c r="Q233" s="33">
        <f>VLOOKUP(обед3,таб,99,FALSE)</f>
        <v>0</v>
      </c>
      <c r="R233" s="33">
        <f>VLOOKUP(обед4,таб,99,FALSE)</f>
        <v>0</v>
      </c>
      <c r="S233" s="33">
        <f>VLOOKUP(обед5,таб,99,FALSE)</f>
        <v>0</v>
      </c>
      <c r="T233" s="33">
        <f>VLOOKUP(обед6,таб,99,FALSE)</f>
        <v>0</v>
      </c>
      <c r="U233" s="33">
        <f>VLOOKUP(обед7,таб,99,FALSE)</f>
        <v>0</v>
      </c>
      <c r="V233" s="87">
        <f>VLOOKUP(обед8,таб,99,FALSE)</f>
        <v>0</v>
      </c>
      <c r="W233" s="34">
        <f>VLOOKUP(полдник1,таб,99,FALSE)</f>
        <v>0</v>
      </c>
      <c r="X233" s="33"/>
      <c r="Y233" s="87">
        <f>VLOOKUP(полдник3,таб,99,FALSE)</f>
        <v>0</v>
      </c>
      <c r="Z233" s="34">
        <f>VLOOKUP(ужин1,таб,99,FALSE)</f>
        <v>0</v>
      </c>
      <c r="AA233" s="33">
        <f>VLOOKUP(ужин2,таб,99,FALSE)</f>
        <v>0</v>
      </c>
      <c r="AB233" s="33">
        <f>VLOOKUP(ужин3,таб,99,FALSE)</f>
        <v>0</v>
      </c>
      <c r="AC233" s="33">
        <f>VLOOKUP(ужин4,таб,99,FALSE)</f>
        <v>0</v>
      </c>
      <c r="AD233" s="33">
        <f>VLOOKUP(ужин5,таб,99,FALSE)</f>
        <v>0</v>
      </c>
      <c r="AE233" s="33">
        <f>VLOOKUP(ужин6,таб,99,FALSE)</f>
        <v>0</v>
      </c>
      <c r="AF233" s="33">
        <f>VLOOKUP(ужин7,таб,99,FALSE)</f>
        <v>0</v>
      </c>
      <c r="AG233" s="87">
        <f>VLOOKUP(ужин8,таб,99,FALSE)</f>
        <v>0</v>
      </c>
      <c r="AH233" s="253"/>
      <c r="AI233" s="139">
        <f>AK233/сред</f>
        <v>0</v>
      </c>
      <c r="AJ233" s="140"/>
      <c r="AK233" s="143">
        <f>SUM(G234:AG234)</f>
        <v>0</v>
      </c>
      <c r="AL233" s="143"/>
      <c r="AM233" s="131">
        <f>IF(AK233=0,0,Таблиця!CV267)</f>
        <v>0</v>
      </c>
      <c r="AN233" s="129">
        <f>AK233*AM233</f>
        <v>0</v>
      </c>
      <c r="AO233" s="16"/>
      <c r="AP233" s="16"/>
      <c r="AQ233" s="102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DE233" s="54"/>
    </row>
    <row r="234" spans="1:109" ht="30.75" customHeight="1" hidden="1">
      <c r="A234" s="136"/>
      <c r="B234" s="137"/>
      <c r="C234" s="137"/>
      <c r="D234" s="137"/>
      <c r="E234" s="138"/>
      <c r="F234" s="107" t="s">
        <v>96</v>
      </c>
      <c r="G234" s="75">
        <f aca="true" t="shared" si="259" ref="G234:AG234">IF(G233=0,"",завтракл*G233/1000)</f>
      </c>
      <c r="H234" s="23">
        <f t="shared" si="259"/>
      </c>
      <c r="I234" s="23"/>
      <c r="J234" s="23">
        <f t="shared" si="259"/>
      </c>
      <c r="K234" s="23">
        <f t="shared" si="259"/>
      </c>
      <c r="L234" s="122">
        <f t="shared" si="259"/>
      </c>
      <c r="M234" s="75">
        <f t="shared" si="259"/>
      </c>
      <c r="N234" s="83">
        <f t="shared" si="259"/>
      </c>
      <c r="O234" s="75">
        <f t="shared" si="259"/>
      </c>
      <c r="P234" s="23">
        <f t="shared" si="259"/>
      </c>
      <c r="Q234" s="23">
        <f t="shared" si="259"/>
      </c>
      <c r="R234" s="23">
        <f t="shared" si="259"/>
      </c>
      <c r="S234" s="23">
        <f t="shared" si="259"/>
      </c>
      <c r="T234" s="23">
        <f t="shared" si="259"/>
      </c>
      <c r="U234" s="23">
        <f t="shared" si="259"/>
      </c>
      <c r="V234" s="83">
        <f t="shared" si="259"/>
      </c>
      <c r="W234" s="25">
        <f t="shared" si="259"/>
      </c>
      <c r="X234" s="23"/>
      <c r="Y234" s="83">
        <f t="shared" si="259"/>
      </c>
      <c r="Z234" s="25">
        <f t="shared" si="259"/>
      </c>
      <c r="AA234" s="23">
        <f t="shared" si="259"/>
      </c>
      <c r="AB234" s="23">
        <f t="shared" si="259"/>
      </c>
      <c r="AC234" s="23">
        <f t="shared" si="259"/>
      </c>
      <c r="AD234" s="23">
        <f t="shared" si="259"/>
      </c>
      <c r="AE234" s="23">
        <f t="shared" si="259"/>
      </c>
      <c r="AF234" s="23">
        <f t="shared" si="259"/>
      </c>
      <c r="AG234" s="83">
        <f t="shared" si="259"/>
      </c>
      <c r="AH234" s="254"/>
      <c r="AI234" s="139"/>
      <c r="AJ234" s="140"/>
      <c r="AK234" s="143"/>
      <c r="AL234" s="143"/>
      <c r="AM234" s="132"/>
      <c r="AN234" s="130"/>
      <c r="AO234" s="16"/>
      <c r="AP234" s="16"/>
      <c r="AQ234" s="102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DE234" s="54"/>
    </row>
    <row r="235" spans="1:167" ht="30.75" customHeight="1" hidden="1">
      <c r="A235" s="133" t="s">
        <v>458</v>
      </c>
      <c r="B235" s="134"/>
      <c r="C235" s="134"/>
      <c r="D235" s="134"/>
      <c r="E235" s="135"/>
      <c r="F235" s="106" t="s">
        <v>95</v>
      </c>
      <c r="G235" s="71">
        <f>VLOOKUP(завтрак1,таб,100,FALSE)</f>
        <v>0</v>
      </c>
      <c r="H235" s="26">
        <f>VLOOKUP(завтрак2,таб,100,FALSE)</f>
        <v>0</v>
      </c>
      <c r="I235" s="26"/>
      <c r="J235" s="26">
        <f>VLOOKUP(завтрак4,таб,100,FALSE)</f>
        <v>0</v>
      </c>
      <c r="K235" s="26">
        <f>VLOOKUP(завтрак5,таб,100,FALSE)</f>
        <v>0</v>
      </c>
      <c r="L235" s="116">
        <f>VLOOKUP(завтрак6,таб,100,FALSE)</f>
        <v>0</v>
      </c>
      <c r="M235" s="71">
        <f>VLOOKUP(завтрак7,таб,100,FALSE)</f>
        <v>0</v>
      </c>
      <c r="N235" s="81">
        <f>VLOOKUP(завтрак8,таб,100,FALSE)</f>
        <v>0</v>
      </c>
      <c r="O235" s="34">
        <f>VLOOKUP(обед1,таб,100,FALSE)</f>
        <v>0</v>
      </c>
      <c r="P235" s="33">
        <f>VLOOKUP(обед2,таб,100,FALSE)</f>
        <v>0</v>
      </c>
      <c r="Q235" s="33">
        <f>VLOOKUP(обед3,таб,100,FALSE)</f>
        <v>0</v>
      </c>
      <c r="R235" s="33">
        <f>VLOOKUP(обед4,таб,100,FALSE)</f>
        <v>0</v>
      </c>
      <c r="S235" s="33">
        <f>VLOOKUP(обед5,таб,100,FALSE)</f>
        <v>0</v>
      </c>
      <c r="T235" s="33">
        <f>VLOOKUP(обед6,таб,100,FALSE)</f>
        <v>0</v>
      </c>
      <c r="U235" s="33">
        <f>VLOOKUP(обед7,таб,100,FALSE)</f>
        <v>0</v>
      </c>
      <c r="V235" s="87">
        <f>VLOOKUP(обед8,таб,100,FALSE)</f>
        <v>0</v>
      </c>
      <c r="W235" s="34">
        <f>VLOOKUP(полдник1,таб,100,FALSE)</f>
        <v>0</v>
      </c>
      <c r="X235" s="33"/>
      <c r="Y235" s="87">
        <f>VLOOKUP(полдник3,таб,100,FALSE)</f>
        <v>0</v>
      </c>
      <c r="Z235" s="34">
        <f>VLOOKUP(ужин1,таб,100,FALSE)</f>
        <v>0</v>
      </c>
      <c r="AA235" s="33">
        <f>VLOOKUP(ужин2,таб,100,FALSE)</f>
        <v>0</v>
      </c>
      <c r="AB235" s="33">
        <f>VLOOKUP(ужин3,таб,100,FALSE)</f>
        <v>0</v>
      </c>
      <c r="AC235" s="33">
        <f>VLOOKUP(ужин4,таб,100,FALSE)</f>
        <v>0</v>
      </c>
      <c r="AD235" s="33">
        <f>VLOOKUP(ужин5,таб,100,FALSE)</f>
        <v>0</v>
      </c>
      <c r="AE235" s="33">
        <f>VLOOKUP(ужин6,таб,100,FALSE)</f>
        <v>0</v>
      </c>
      <c r="AF235" s="33">
        <f>VLOOKUP(ужин7,таб,100,FALSE)</f>
        <v>0</v>
      </c>
      <c r="AG235" s="87">
        <f>VLOOKUP(ужин8,таб,100,FALSE)</f>
        <v>0</v>
      </c>
      <c r="AH235" s="253"/>
      <c r="AI235" s="139">
        <f>AK235/сред</f>
        <v>0</v>
      </c>
      <c r="AJ235" s="140"/>
      <c r="AK235" s="143">
        <f>SUM(G236:AG236)</f>
        <v>0</v>
      </c>
      <c r="AL235" s="143"/>
      <c r="AM235" s="131">
        <f>IF(AK235=0,0,Таблиця!CW267)</f>
        <v>0</v>
      </c>
      <c r="AN235" s="129">
        <f>AK235*AM235</f>
        <v>0</v>
      </c>
      <c r="AO235" s="16"/>
      <c r="AP235" s="16"/>
      <c r="AQ235" s="102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DE235" s="54"/>
      <c r="FK235">
        <v>7.5</v>
      </c>
    </row>
    <row r="236" spans="1:109" ht="30.75" customHeight="1" hidden="1">
      <c r="A236" s="136"/>
      <c r="B236" s="137"/>
      <c r="C236" s="137"/>
      <c r="D236" s="137"/>
      <c r="E236" s="138"/>
      <c r="F236" s="107" t="s">
        <v>96</v>
      </c>
      <c r="G236" s="75">
        <f aca="true" t="shared" si="260" ref="G236:AG236">IF(G235=0,"",завтракл*G235/1000)</f>
      </c>
      <c r="H236" s="23">
        <f t="shared" si="260"/>
      </c>
      <c r="I236" s="23"/>
      <c r="J236" s="23">
        <f t="shared" si="260"/>
      </c>
      <c r="K236" s="23">
        <f t="shared" si="260"/>
      </c>
      <c r="L236" s="122">
        <f t="shared" si="260"/>
      </c>
      <c r="M236" s="75">
        <f t="shared" si="260"/>
      </c>
      <c r="N236" s="83">
        <f t="shared" si="260"/>
      </c>
      <c r="O236" s="75">
        <f t="shared" si="260"/>
      </c>
      <c r="P236" s="23">
        <f t="shared" si="260"/>
      </c>
      <c r="Q236" s="23">
        <f t="shared" si="260"/>
      </c>
      <c r="R236" s="23">
        <f t="shared" si="260"/>
      </c>
      <c r="S236" s="23">
        <f t="shared" si="260"/>
      </c>
      <c r="T236" s="23">
        <f t="shared" si="260"/>
      </c>
      <c r="U236" s="23">
        <f t="shared" si="260"/>
      </c>
      <c r="V236" s="83">
        <f t="shared" si="260"/>
      </c>
      <c r="W236" s="25">
        <f t="shared" si="260"/>
      </c>
      <c r="X236" s="23"/>
      <c r="Y236" s="83">
        <f t="shared" si="260"/>
      </c>
      <c r="Z236" s="25">
        <f t="shared" si="260"/>
      </c>
      <c r="AA236" s="23">
        <f t="shared" si="260"/>
      </c>
      <c r="AB236" s="23">
        <f t="shared" si="260"/>
      </c>
      <c r="AC236" s="23">
        <f t="shared" si="260"/>
      </c>
      <c r="AD236" s="23">
        <f t="shared" si="260"/>
      </c>
      <c r="AE236" s="23">
        <f t="shared" si="260"/>
      </c>
      <c r="AF236" s="23">
        <f t="shared" si="260"/>
      </c>
      <c r="AG236" s="83">
        <f t="shared" si="260"/>
      </c>
      <c r="AH236" s="254"/>
      <c r="AI236" s="139"/>
      <c r="AJ236" s="140"/>
      <c r="AK236" s="143"/>
      <c r="AL236" s="143"/>
      <c r="AM236" s="132"/>
      <c r="AN236" s="130"/>
      <c r="AO236" s="16"/>
      <c r="AP236" s="16"/>
      <c r="AQ236" s="102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DE236" s="54"/>
    </row>
    <row r="237" spans="1:109" ht="30.75" customHeight="1" hidden="1">
      <c r="A237" s="133" t="s">
        <v>459</v>
      </c>
      <c r="B237" s="134"/>
      <c r="C237" s="134"/>
      <c r="D237" s="134"/>
      <c r="E237" s="135"/>
      <c r="F237" s="106" t="s">
        <v>95</v>
      </c>
      <c r="G237" s="71">
        <f>VLOOKUP(завтрак1,таб,102,FALSE)</f>
        <v>0</v>
      </c>
      <c r="H237" s="26">
        <f>VLOOKUP(завтрак2,таб,102,FALSE)</f>
        <v>0</v>
      </c>
      <c r="I237" s="26"/>
      <c r="J237" s="26">
        <f>VLOOKUP(завтрак4,таб,102,FALSE)</f>
        <v>0</v>
      </c>
      <c r="K237" s="26">
        <f>VLOOKUP(завтрак5,таб,102,FALSE)</f>
        <v>0</v>
      </c>
      <c r="L237" s="116">
        <f>VLOOKUP(завтрак6,таб,102,FALSE)</f>
        <v>0</v>
      </c>
      <c r="M237" s="71">
        <f>VLOOKUP(завтрак7,таб,102,FALSE)</f>
        <v>0</v>
      </c>
      <c r="N237" s="81">
        <f>VLOOKUP(завтрак8,таб,102,FALSE)</f>
        <v>0</v>
      </c>
      <c r="O237" s="34">
        <f>VLOOKUP(обед1,таб,102,FALSE)</f>
        <v>0</v>
      </c>
      <c r="P237" s="33">
        <f>VLOOKUP(обед2,таб,102,FALSE)</f>
        <v>0</v>
      </c>
      <c r="Q237" s="33">
        <f>VLOOKUP(обед3,таб,102,FALSE)</f>
        <v>0</v>
      </c>
      <c r="R237" s="33">
        <f>VLOOKUP(обед4,таб,102,FALSE)</f>
        <v>0</v>
      </c>
      <c r="S237" s="33">
        <f>VLOOKUP(обед5,таб,102,FALSE)</f>
        <v>0</v>
      </c>
      <c r="T237" s="33">
        <f>VLOOKUP(обед6,таб,102,FALSE)</f>
        <v>0</v>
      </c>
      <c r="U237" s="33">
        <f>VLOOKUP(обед7,таб,102,FALSE)</f>
        <v>0</v>
      </c>
      <c r="V237" s="87">
        <f>VLOOKUP(обед8,таб,102,FALSE)</f>
        <v>0</v>
      </c>
      <c r="W237" s="34">
        <f>VLOOKUP(полдник1,таб,102,FALSE)</f>
        <v>0</v>
      </c>
      <c r="X237" s="33"/>
      <c r="Y237" s="87">
        <f>VLOOKUP(полдник3,таб,102,FALSE)</f>
        <v>0</v>
      </c>
      <c r="Z237" s="34">
        <f>VLOOKUP(ужин1,таб,102,FALSE)</f>
        <v>0</v>
      </c>
      <c r="AA237" s="33">
        <f>VLOOKUP(ужин2,таб,102,FALSE)</f>
        <v>0</v>
      </c>
      <c r="AB237" s="33">
        <f>VLOOKUP(ужин3,таб,102,FALSE)</f>
        <v>0</v>
      </c>
      <c r="AC237" s="33">
        <f>VLOOKUP(ужин4,таб,102,FALSE)</f>
        <v>0</v>
      </c>
      <c r="AD237" s="33">
        <f>VLOOKUP(ужин5,таб,102,FALSE)</f>
        <v>0</v>
      </c>
      <c r="AE237" s="33">
        <f>VLOOKUP(ужин6,таб,102,FALSE)</f>
        <v>0</v>
      </c>
      <c r="AF237" s="33">
        <f>VLOOKUP(ужин7,таб,102,FALSE)</f>
        <v>0</v>
      </c>
      <c r="AG237" s="87">
        <f>VLOOKUP(ужин8,таб,102,FALSE)</f>
        <v>0</v>
      </c>
      <c r="AH237" s="253"/>
      <c r="AI237" s="139">
        <f>AK237/сред</f>
        <v>0</v>
      </c>
      <c r="AJ237" s="140"/>
      <c r="AK237" s="143">
        <f>SUM(G238:AG238)</f>
        <v>0</v>
      </c>
      <c r="AL237" s="143"/>
      <c r="AM237" s="131">
        <f>IF(AK237=0,0,Таблиця!CY267)</f>
        <v>0</v>
      </c>
      <c r="AN237" s="129">
        <f>AK237*AM237</f>
        <v>0</v>
      </c>
      <c r="AO237" s="16"/>
      <c r="AP237" s="16"/>
      <c r="AQ237" s="102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DE237" s="54"/>
    </row>
    <row r="238" spans="1:168" ht="30.75" customHeight="1" hidden="1">
      <c r="A238" s="136"/>
      <c r="B238" s="137"/>
      <c r="C238" s="137"/>
      <c r="D238" s="137"/>
      <c r="E238" s="138"/>
      <c r="F238" s="107" t="s">
        <v>96</v>
      </c>
      <c r="G238" s="75">
        <f aca="true" t="shared" si="261" ref="G238:AG238">IF(G237=0,"",завтракл*G237/1000)</f>
      </c>
      <c r="H238" s="23">
        <f t="shared" si="261"/>
      </c>
      <c r="I238" s="23"/>
      <c r="J238" s="23">
        <f t="shared" si="261"/>
      </c>
      <c r="K238" s="23">
        <f t="shared" si="261"/>
      </c>
      <c r="L238" s="122">
        <f t="shared" si="261"/>
      </c>
      <c r="M238" s="75">
        <f t="shared" si="261"/>
      </c>
      <c r="N238" s="83">
        <f t="shared" si="261"/>
      </c>
      <c r="O238" s="75">
        <f t="shared" si="261"/>
      </c>
      <c r="P238" s="23">
        <f t="shared" si="261"/>
      </c>
      <c r="Q238" s="23">
        <f t="shared" si="261"/>
      </c>
      <c r="R238" s="23">
        <f t="shared" si="261"/>
      </c>
      <c r="S238" s="23">
        <f t="shared" si="261"/>
      </c>
      <c r="T238" s="23">
        <f t="shared" si="261"/>
      </c>
      <c r="U238" s="23">
        <f t="shared" si="261"/>
      </c>
      <c r="V238" s="83">
        <f t="shared" si="261"/>
      </c>
      <c r="W238" s="25">
        <f t="shared" si="261"/>
      </c>
      <c r="X238" s="23"/>
      <c r="Y238" s="83">
        <f t="shared" si="261"/>
      </c>
      <c r="Z238" s="25">
        <f t="shared" si="261"/>
      </c>
      <c r="AA238" s="23">
        <f t="shared" si="261"/>
      </c>
      <c r="AB238" s="23">
        <f t="shared" si="261"/>
      </c>
      <c r="AC238" s="23">
        <f t="shared" si="261"/>
      </c>
      <c r="AD238" s="23">
        <f t="shared" si="261"/>
      </c>
      <c r="AE238" s="23">
        <f t="shared" si="261"/>
      </c>
      <c r="AF238" s="23">
        <f t="shared" si="261"/>
      </c>
      <c r="AG238" s="83">
        <f t="shared" si="261"/>
      </c>
      <c r="AH238" s="254"/>
      <c r="AI238" s="139"/>
      <c r="AJ238" s="140"/>
      <c r="AK238" s="143"/>
      <c r="AL238" s="143"/>
      <c r="AM238" s="132"/>
      <c r="AN238" s="130"/>
      <c r="AO238" s="16"/>
      <c r="AP238" s="16"/>
      <c r="AQ238" s="102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DE238" s="54"/>
      <c r="FL238">
        <v>22.2</v>
      </c>
    </row>
    <row r="239" spans="1:167" ht="30.75" customHeight="1" hidden="1">
      <c r="A239" s="133" t="s">
        <v>460</v>
      </c>
      <c r="B239" s="134"/>
      <c r="C239" s="134"/>
      <c r="D239" s="134"/>
      <c r="E239" s="135"/>
      <c r="F239" s="106" t="s">
        <v>95</v>
      </c>
      <c r="G239" s="71">
        <f>VLOOKUP(завтрак1,таб,103,FALSE)</f>
        <v>0</v>
      </c>
      <c r="H239" s="26">
        <f>VLOOKUP(завтрак2,таб,103,FALSE)</f>
        <v>0</v>
      </c>
      <c r="I239" s="26"/>
      <c r="J239" s="26">
        <f>VLOOKUP(завтрак4,таб,103,FALSE)</f>
        <v>0</v>
      </c>
      <c r="K239" s="26">
        <f>VLOOKUP(завтрак5,таб,103,FALSE)</f>
        <v>0</v>
      </c>
      <c r="L239" s="116">
        <f>VLOOKUP(завтрак6,таб,103,FALSE)</f>
        <v>0</v>
      </c>
      <c r="M239" s="71">
        <f>VLOOKUP(завтрак7,таб,103,FALSE)</f>
        <v>0</v>
      </c>
      <c r="N239" s="81">
        <f>VLOOKUP(завтрак8,таб,103,FALSE)</f>
        <v>0</v>
      </c>
      <c r="O239" s="34">
        <f>VLOOKUP(обед1,таб,103,FALSE)</f>
        <v>0</v>
      </c>
      <c r="P239" s="33">
        <f>VLOOKUP(обед2,таб,103,FALSE)</f>
        <v>0</v>
      </c>
      <c r="Q239" s="33">
        <f>VLOOKUP(обед3,таб,103,FALSE)</f>
        <v>0</v>
      </c>
      <c r="R239" s="33">
        <f>VLOOKUP(обед4,таб,103,FALSE)</f>
        <v>0</v>
      </c>
      <c r="S239" s="33">
        <f>VLOOKUP(обед5,таб,103,FALSE)</f>
        <v>0</v>
      </c>
      <c r="T239" s="33">
        <f>VLOOKUP(обед6,таб,103,FALSE)</f>
        <v>0</v>
      </c>
      <c r="U239" s="33">
        <f>VLOOKUP(обед7,таб,103,FALSE)</f>
        <v>0</v>
      </c>
      <c r="V239" s="87">
        <f>VLOOKUP(обед8,таб,103,FALSE)</f>
        <v>0</v>
      </c>
      <c r="W239" s="34">
        <f>VLOOKUP(полдник1,таб,103,FALSE)</f>
        <v>0</v>
      </c>
      <c r="X239" s="33"/>
      <c r="Y239" s="87">
        <f>VLOOKUP(полдник3,таб,103,FALSE)</f>
        <v>0</v>
      </c>
      <c r="Z239" s="34">
        <f>VLOOKUP(ужин1,таб,103,FALSE)</f>
        <v>0</v>
      </c>
      <c r="AA239" s="33"/>
      <c r="AB239" s="33">
        <f>VLOOKUP(ужин3,таб,103,FALSE)</f>
        <v>0</v>
      </c>
      <c r="AC239" s="33">
        <f>VLOOKUP(ужин4,таб,103,FALSE)</f>
        <v>0</v>
      </c>
      <c r="AD239" s="33">
        <f>VLOOKUP(ужин5,таб,103,FALSE)</f>
        <v>0</v>
      </c>
      <c r="AE239" s="33">
        <f>VLOOKUP(ужин6,таб,103,FALSE)</f>
        <v>0</v>
      </c>
      <c r="AF239" s="33">
        <f>VLOOKUP(ужин7,таб,103,FALSE)</f>
        <v>0</v>
      </c>
      <c r="AG239" s="87">
        <f>VLOOKUP(ужин8,таб,103,FALSE)</f>
        <v>0</v>
      </c>
      <c r="AH239" s="253"/>
      <c r="AI239" s="139">
        <f>AK239/сред</f>
        <v>0</v>
      </c>
      <c r="AJ239" s="140"/>
      <c r="AK239" s="143">
        <f>SUM(G240:AG240)</f>
        <v>0</v>
      </c>
      <c r="AL239" s="143"/>
      <c r="AM239" s="131">
        <f>IF(AK239=0,0,Таблиця!CZ267)</f>
        <v>0</v>
      </c>
      <c r="AN239" s="129">
        <f>AK239*AM239</f>
        <v>0</v>
      </c>
      <c r="AO239" s="16"/>
      <c r="AP239" s="16"/>
      <c r="AQ239" s="102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DE239" s="54"/>
      <c r="FK239">
        <v>3</v>
      </c>
    </row>
    <row r="240" spans="1:109" ht="30.75" customHeight="1" hidden="1">
      <c r="A240" s="136"/>
      <c r="B240" s="137"/>
      <c r="C240" s="137"/>
      <c r="D240" s="137"/>
      <c r="E240" s="138"/>
      <c r="F240" s="107" t="s">
        <v>96</v>
      </c>
      <c r="G240" s="75">
        <f aca="true" t="shared" si="262" ref="G240:AG240">IF(G239=0,"",завтракл*G239/1000)</f>
      </c>
      <c r="H240" s="23">
        <f t="shared" si="262"/>
      </c>
      <c r="I240" s="23"/>
      <c r="J240" s="23">
        <f t="shared" si="262"/>
      </c>
      <c r="K240" s="23">
        <f t="shared" si="262"/>
      </c>
      <c r="L240" s="122">
        <f t="shared" si="262"/>
      </c>
      <c r="M240" s="75">
        <f t="shared" si="262"/>
      </c>
      <c r="N240" s="83">
        <f t="shared" si="262"/>
      </c>
      <c r="O240" s="75">
        <f t="shared" si="262"/>
      </c>
      <c r="P240" s="23">
        <f t="shared" si="262"/>
      </c>
      <c r="Q240" s="23">
        <f t="shared" si="262"/>
      </c>
      <c r="R240" s="23">
        <f t="shared" si="262"/>
      </c>
      <c r="S240" s="23">
        <f t="shared" si="262"/>
      </c>
      <c r="T240" s="23">
        <f t="shared" si="262"/>
      </c>
      <c r="U240" s="23">
        <f t="shared" si="262"/>
      </c>
      <c r="V240" s="83">
        <f t="shared" si="262"/>
      </c>
      <c r="W240" s="25">
        <f t="shared" si="262"/>
      </c>
      <c r="X240" s="23"/>
      <c r="Y240" s="83">
        <f t="shared" si="262"/>
      </c>
      <c r="Z240" s="25">
        <f t="shared" si="262"/>
      </c>
      <c r="AA240" s="23">
        <f t="shared" si="262"/>
      </c>
      <c r="AB240" s="23">
        <f t="shared" si="262"/>
      </c>
      <c r="AC240" s="23">
        <f t="shared" si="262"/>
      </c>
      <c r="AD240" s="23">
        <f t="shared" si="262"/>
      </c>
      <c r="AE240" s="23">
        <f t="shared" si="262"/>
      </c>
      <c r="AF240" s="23">
        <f t="shared" si="262"/>
      </c>
      <c r="AG240" s="83">
        <f t="shared" si="262"/>
      </c>
      <c r="AH240" s="254"/>
      <c r="AI240" s="139"/>
      <c r="AJ240" s="140"/>
      <c r="AK240" s="143"/>
      <c r="AL240" s="143"/>
      <c r="AM240" s="132"/>
      <c r="AN240" s="130"/>
      <c r="AO240" s="16"/>
      <c r="AP240" s="16"/>
      <c r="AQ240" s="102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DE240" s="54"/>
    </row>
    <row r="241" spans="1:169" ht="30.75" customHeight="1" hidden="1">
      <c r="A241" s="133" t="s">
        <v>461</v>
      </c>
      <c r="B241" s="134"/>
      <c r="C241" s="134"/>
      <c r="D241" s="134"/>
      <c r="E241" s="135"/>
      <c r="F241" s="106" t="s">
        <v>95</v>
      </c>
      <c r="G241" s="71">
        <f>VLOOKUP(завтрак1,таб,105,FALSE)</f>
        <v>0</v>
      </c>
      <c r="H241" s="26">
        <f>VLOOKUP(завтрак2,таб,105,FALSE)</f>
        <v>0</v>
      </c>
      <c r="I241" s="26"/>
      <c r="J241" s="26">
        <f>VLOOKUP(завтрак4,таб,105,FALSE)</f>
        <v>0</v>
      </c>
      <c r="K241" s="26">
        <f>VLOOKUP(завтрак5,таб,105,FALSE)</f>
        <v>0</v>
      </c>
      <c r="L241" s="116">
        <f>VLOOKUP(завтрак6,таб,105,FALSE)</f>
        <v>0</v>
      </c>
      <c r="M241" s="71">
        <f>VLOOKUP(завтрак7,таб,105,FALSE)</f>
        <v>0</v>
      </c>
      <c r="N241" s="81">
        <f>VLOOKUP(завтрак8,таб,105,FALSE)</f>
        <v>0</v>
      </c>
      <c r="O241" s="34">
        <f>VLOOKUP(обед1,таб,105,FALSE)</f>
        <v>0</v>
      </c>
      <c r="P241" s="33">
        <f>VLOOKUP(обед2,таб,105,FALSE)</f>
        <v>0</v>
      </c>
      <c r="Q241" s="33">
        <f>VLOOKUP(обед3,таб,105,FALSE)</f>
        <v>0</v>
      </c>
      <c r="R241" s="33">
        <f>VLOOKUP(обед4,таб,105,FALSE)</f>
        <v>0</v>
      </c>
      <c r="S241" s="33">
        <f>VLOOKUP(обед5,таб,105,FALSE)</f>
        <v>0</v>
      </c>
      <c r="T241" s="33">
        <f>VLOOKUP(обед6,таб,105,FALSE)</f>
        <v>0</v>
      </c>
      <c r="U241" s="33">
        <f>VLOOKUP(обед7,таб,105,FALSE)</f>
        <v>0</v>
      </c>
      <c r="V241" s="87">
        <f>VLOOKUP(обед8,таб,105,FALSE)</f>
        <v>0</v>
      </c>
      <c r="W241" s="34">
        <f>VLOOKUP(полдник1,таб,105,FALSE)</f>
        <v>0</v>
      </c>
      <c r="X241" s="33"/>
      <c r="Y241" s="87">
        <f>VLOOKUP(полдник3,таб,105,FALSE)</f>
        <v>0</v>
      </c>
      <c r="Z241" s="34">
        <f>VLOOKUP(ужин1,таб,105,FALSE)</f>
        <v>0</v>
      </c>
      <c r="AA241" s="33">
        <f>VLOOKUP(ужин2,таб,105,FALSE)</f>
        <v>0</v>
      </c>
      <c r="AB241" s="33">
        <f>VLOOKUP(ужин3,таб,105,FALSE)</f>
        <v>0</v>
      </c>
      <c r="AC241" s="33">
        <f>VLOOKUP(ужин4,таб,105,FALSE)</f>
        <v>0</v>
      </c>
      <c r="AD241" s="33">
        <f>VLOOKUP(ужин5,таб,105,FALSE)</f>
        <v>0</v>
      </c>
      <c r="AE241" s="33">
        <f>VLOOKUP(ужин6,таб,105,FALSE)</f>
        <v>0</v>
      </c>
      <c r="AF241" s="33">
        <f>VLOOKUP(ужин7,таб,105,FALSE)</f>
        <v>0</v>
      </c>
      <c r="AG241" s="87">
        <f>VLOOKUP(ужин8,таб,105,FALSE)</f>
        <v>0</v>
      </c>
      <c r="AH241" s="253"/>
      <c r="AI241" s="139">
        <f>AK241/сред</f>
        <v>0</v>
      </c>
      <c r="AJ241" s="140"/>
      <c r="AK241" s="143">
        <f>SUM(G242:AG242)</f>
        <v>0</v>
      </c>
      <c r="AL241" s="143"/>
      <c r="AM241" s="131">
        <f>IF(AK241=0,0,Таблиця!DB267)</f>
        <v>0</v>
      </c>
      <c r="AN241" s="129">
        <f>AK241*AM241</f>
        <v>0</v>
      </c>
      <c r="AO241" s="16"/>
      <c r="AP241" s="16"/>
      <c r="AQ241" s="102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DE241" s="54"/>
      <c r="FM241">
        <v>37.5</v>
      </c>
    </row>
    <row r="242" spans="1:109" ht="30.75" customHeight="1" hidden="1">
      <c r="A242" s="136"/>
      <c r="B242" s="137"/>
      <c r="C242" s="137"/>
      <c r="D242" s="137"/>
      <c r="E242" s="138"/>
      <c r="F242" s="107" t="s">
        <v>96</v>
      </c>
      <c r="G242" s="75">
        <f aca="true" t="shared" si="263" ref="G242:AG242">IF(G241=0,"",завтракл*G241/1000)</f>
      </c>
      <c r="H242" s="23">
        <f t="shared" si="263"/>
      </c>
      <c r="I242" s="23"/>
      <c r="J242" s="23">
        <f t="shared" si="263"/>
      </c>
      <c r="K242" s="23">
        <f t="shared" si="263"/>
      </c>
      <c r="L242" s="122">
        <f t="shared" si="263"/>
      </c>
      <c r="M242" s="75">
        <f t="shared" si="263"/>
      </c>
      <c r="N242" s="83">
        <f t="shared" si="263"/>
      </c>
      <c r="O242" s="75">
        <f t="shared" si="263"/>
      </c>
      <c r="P242" s="23">
        <f t="shared" si="263"/>
      </c>
      <c r="Q242" s="23">
        <f t="shared" si="263"/>
      </c>
      <c r="R242" s="23">
        <f t="shared" si="263"/>
      </c>
      <c r="S242" s="23">
        <f t="shared" si="263"/>
      </c>
      <c r="T242" s="23">
        <f t="shared" si="263"/>
      </c>
      <c r="U242" s="23">
        <f t="shared" si="263"/>
      </c>
      <c r="V242" s="83">
        <f t="shared" si="263"/>
      </c>
      <c r="W242" s="25">
        <f t="shared" si="263"/>
      </c>
      <c r="X242" s="23"/>
      <c r="Y242" s="83">
        <f t="shared" si="263"/>
      </c>
      <c r="Z242" s="25">
        <f t="shared" si="263"/>
      </c>
      <c r="AA242" s="23">
        <f t="shared" si="263"/>
      </c>
      <c r="AB242" s="23">
        <f t="shared" si="263"/>
      </c>
      <c r="AC242" s="23">
        <f t="shared" si="263"/>
      </c>
      <c r="AD242" s="23">
        <f t="shared" si="263"/>
      </c>
      <c r="AE242" s="23">
        <f t="shared" si="263"/>
      </c>
      <c r="AF242" s="23">
        <f t="shared" si="263"/>
      </c>
      <c r="AG242" s="83">
        <f t="shared" si="263"/>
      </c>
      <c r="AH242" s="254"/>
      <c r="AI242" s="139"/>
      <c r="AJ242" s="140"/>
      <c r="AK242" s="143"/>
      <c r="AL242" s="143"/>
      <c r="AM242" s="132"/>
      <c r="AN242" s="130"/>
      <c r="AO242" s="16"/>
      <c r="AP242" s="16"/>
      <c r="AQ242" s="102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DE242" s="54"/>
    </row>
    <row r="243" spans="1:109" ht="30.75" customHeight="1">
      <c r="A243" s="133" t="s">
        <v>462</v>
      </c>
      <c r="B243" s="134"/>
      <c r="C243" s="134"/>
      <c r="D243" s="134"/>
      <c r="E243" s="135"/>
      <c r="F243" s="106" t="s">
        <v>95</v>
      </c>
      <c r="G243" s="71">
        <f>VLOOKUP(завтрак1,таб,106,FALSE)</f>
        <v>0</v>
      </c>
      <c r="H243" s="26">
        <f>VLOOKUP(завтрак2,таб,106,FALSE)</f>
        <v>0</v>
      </c>
      <c r="I243" s="26"/>
      <c r="J243" s="26">
        <f>VLOOKUP(завтрак4,таб,106,FALSE)</f>
        <v>0</v>
      </c>
      <c r="K243" s="26">
        <v>15</v>
      </c>
      <c r="L243" s="116">
        <f>VLOOKUP(завтрак6,таб,106,FALSE)</f>
        <v>0</v>
      </c>
      <c r="M243" s="71">
        <f>VLOOKUP(завтрак7,таб,106,FALSE)</f>
        <v>0</v>
      </c>
      <c r="N243" s="81">
        <f>VLOOKUP(завтрак8,таб,106,FALSE)</f>
        <v>0</v>
      </c>
      <c r="O243" s="34">
        <f>VLOOKUP(обед1,таб,106,FALSE)</f>
        <v>0</v>
      </c>
      <c r="P243" s="33">
        <f>VLOOKUP(обед2,таб,106,FALSE)</f>
        <v>0</v>
      </c>
      <c r="Q243" s="33">
        <f>VLOOKUP(обед3,таб,106,FALSE)</f>
        <v>0</v>
      </c>
      <c r="R243" s="33">
        <f>VLOOKUP(обед4,таб,106,FALSE)</f>
        <v>0</v>
      </c>
      <c r="S243" s="33">
        <f>VLOOKUP(обед5,таб,106,FALSE)</f>
        <v>0</v>
      </c>
      <c r="T243" s="33">
        <f>VLOOKUP(обед6,таб,106,FALSE)</f>
        <v>0</v>
      </c>
      <c r="U243" s="33">
        <f>VLOOKUP(обед7,таб,106,FALSE)</f>
        <v>0</v>
      </c>
      <c r="V243" s="87">
        <f>VLOOKUP(обед8,таб,106,FALSE)</f>
        <v>0</v>
      </c>
      <c r="W243" s="34">
        <f>VLOOKUP(полдник1,таб,106,FALSE)</f>
        <v>0</v>
      </c>
      <c r="X243" s="33"/>
      <c r="Y243" s="87">
        <f>VLOOKUP(полдник3,таб,106,FALSE)</f>
        <v>0</v>
      </c>
      <c r="Z243" s="34">
        <f>VLOOKUP(ужин1,таб,106,FALSE)</f>
        <v>0</v>
      </c>
      <c r="AA243" s="33">
        <f>VLOOKUP(ужин2,таб,106,FALSE)</f>
        <v>0</v>
      </c>
      <c r="AB243" s="33">
        <f>VLOOKUP(ужин3,таб,106,FALSE)</f>
        <v>0</v>
      </c>
      <c r="AC243" s="33">
        <f>VLOOKUP(ужин4,таб,106,FALSE)</f>
        <v>0</v>
      </c>
      <c r="AD243" s="33">
        <f>VLOOKUP(ужин5,таб,106,FALSE)</f>
        <v>0</v>
      </c>
      <c r="AE243" s="33">
        <f>VLOOKUP(ужин6,таб,106,FALSE)</f>
        <v>0</v>
      </c>
      <c r="AF243" s="33">
        <f>VLOOKUP(ужин7,таб,106,FALSE)</f>
        <v>0</v>
      </c>
      <c r="AG243" s="87">
        <f>VLOOKUP(ужин8,таб,106,FALSE)</f>
        <v>0</v>
      </c>
      <c r="AH243" s="253"/>
      <c r="AI243" s="139">
        <f>AK243/сред</f>
        <v>0.015</v>
      </c>
      <c r="AJ243" s="140"/>
      <c r="AK243" s="143">
        <f>SUM(G244:AG244)</f>
        <v>0.3</v>
      </c>
      <c r="AL243" s="143"/>
      <c r="AM243" s="131">
        <f>IF(AK243=0,0,Таблиця!DC267)</f>
        <v>90</v>
      </c>
      <c r="AN243" s="129">
        <f>AK243*AM243</f>
        <v>27</v>
      </c>
      <c r="AO243" s="16"/>
      <c r="AP243" s="16"/>
      <c r="AQ243" s="102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DE243" s="54"/>
    </row>
    <row r="244" spans="1:109" ht="30.75" customHeight="1">
      <c r="A244" s="136"/>
      <c r="B244" s="137"/>
      <c r="C244" s="137"/>
      <c r="D244" s="137"/>
      <c r="E244" s="138"/>
      <c r="F244" s="107" t="s">
        <v>96</v>
      </c>
      <c r="G244" s="75">
        <f aca="true" t="shared" si="264" ref="G244:AG244">IF(G243=0,"",завтракл*G243/1000)</f>
      </c>
      <c r="H244" s="23">
        <f t="shared" si="264"/>
      </c>
      <c r="I244" s="23"/>
      <c r="J244" s="23">
        <f t="shared" si="264"/>
      </c>
      <c r="K244" s="23">
        <f t="shared" si="264"/>
        <v>0.3</v>
      </c>
      <c r="L244" s="122">
        <f t="shared" si="264"/>
      </c>
      <c r="M244" s="75">
        <f t="shared" si="264"/>
      </c>
      <c r="N244" s="83">
        <f t="shared" si="264"/>
      </c>
      <c r="O244" s="75">
        <f t="shared" si="264"/>
      </c>
      <c r="P244" s="23">
        <f t="shared" si="264"/>
      </c>
      <c r="Q244" s="23">
        <f t="shared" si="264"/>
      </c>
      <c r="R244" s="23">
        <f t="shared" si="264"/>
      </c>
      <c r="S244" s="23">
        <f t="shared" si="264"/>
      </c>
      <c r="T244" s="23">
        <f t="shared" si="264"/>
      </c>
      <c r="U244" s="23">
        <f t="shared" si="264"/>
      </c>
      <c r="V244" s="83">
        <f t="shared" si="264"/>
      </c>
      <c r="W244" s="25">
        <f t="shared" si="264"/>
      </c>
      <c r="X244" s="23"/>
      <c r="Y244" s="83">
        <f t="shared" si="264"/>
      </c>
      <c r="Z244" s="25">
        <f t="shared" si="264"/>
      </c>
      <c r="AA244" s="23">
        <f t="shared" si="264"/>
      </c>
      <c r="AB244" s="23">
        <f t="shared" si="264"/>
      </c>
      <c r="AC244" s="23">
        <f t="shared" si="264"/>
      </c>
      <c r="AD244" s="23">
        <f t="shared" si="264"/>
      </c>
      <c r="AE244" s="23">
        <f t="shared" si="264"/>
      </c>
      <c r="AF244" s="23">
        <f t="shared" si="264"/>
      </c>
      <c r="AG244" s="83">
        <f t="shared" si="264"/>
      </c>
      <c r="AH244" s="254"/>
      <c r="AI244" s="139"/>
      <c r="AJ244" s="140"/>
      <c r="AK244" s="143"/>
      <c r="AL244" s="143"/>
      <c r="AM244" s="132"/>
      <c r="AN244" s="130"/>
      <c r="AO244" s="16"/>
      <c r="AP244" s="16"/>
      <c r="AQ244" s="102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DE244" s="54"/>
    </row>
    <row r="245" spans="1:109" ht="30.75" customHeight="1" hidden="1">
      <c r="A245" s="133" t="s">
        <v>463</v>
      </c>
      <c r="B245" s="134"/>
      <c r="C245" s="134"/>
      <c r="D245" s="134"/>
      <c r="E245" s="135"/>
      <c r="F245" s="106" t="s">
        <v>95</v>
      </c>
      <c r="G245" s="71">
        <f>VLOOKUP(завтрак1,таб,107,FALSE)</f>
        <v>0</v>
      </c>
      <c r="H245" s="26">
        <f>VLOOKUP(завтрак2,таб,107,FALSE)</f>
        <v>0</v>
      </c>
      <c r="I245" s="26"/>
      <c r="J245" s="26">
        <f>VLOOKUP(завтрак4,таб,107,FALSE)</f>
        <v>0</v>
      </c>
      <c r="K245" s="26">
        <f>VLOOKUP(завтрак5,таб,107,FALSE)</f>
        <v>0</v>
      </c>
      <c r="L245" s="116">
        <f>VLOOKUP(завтрак6,таб,107,FALSE)</f>
        <v>0</v>
      </c>
      <c r="M245" s="71">
        <f>VLOOKUP(завтрак7,таб,107,FALSE)</f>
        <v>0</v>
      </c>
      <c r="N245" s="81">
        <f>VLOOKUP(завтрак8,таб,107,FALSE)</f>
        <v>0</v>
      </c>
      <c r="O245" s="34">
        <f>VLOOKUP(обед1,таб,107,FALSE)</f>
        <v>0</v>
      </c>
      <c r="P245" s="33">
        <f>VLOOKUP(обед2,таб,107,FALSE)</f>
        <v>0</v>
      </c>
      <c r="Q245" s="33">
        <f>VLOOKUP(обед3,таб,107,FALSE)</f>
        <v>0</v>
      </c>
      <c r="R245" s="33">
        <f>VLOOKUP(обед4,таб,107,FALSE)</f>
        <v>0</v>
      </c>
      <c r="S245" s="33">
        <f>VLOOKUP(обед5,таб,107,FALSE)</f>
        <v>0</v>
      </c>
      <c r="T245" s="33">
        <f>VLOOKUP(обед6,таб,107,FALSE)</f>
        <v>0</v>
      </c>
      <c r="U245" s="33">
        <f>VLOOKUP(обед7,таб,107,FALSE)</f>
        <v>0</v>
      </c>
      <c r="V245" s="87">
        <f>VLOOKUP(обед8,таб,107,FALSE)</f>
        <v>0</v>
      </c>
      <c r="W245" s="34">
        <f>VLOOKUP(полдник1,таб,107,FALSE)</f>
        <v>0</v>
      </c>
      <c r="X245" s="33"/>
      <c r="Y245" s="87">
        <f>VLOOKUP(полдник3,таб,107,FALSE)</f>
        <v>0</v>
      </c>
      <c r="Z245" s="34">
        <f>VLOOKUP(ужин1,таб,107,FALSE)</f>
        <v>0</v>
      </c>
      <c r="AA245" s="33">
        <f>VLOOKUP(ужин2,таб,107,FALSE)</f>
        <v>0</v>
      </c>
      <c r="AB245" s="33">
        <f>VLOOKUP(ужин3,таб,107,FALSE)</f>
        <v>0</v>
      </c>
      <c r="AC245" s="33">
        <f>VLOOKUP(ужин4,таб,107,FALSE)</f>
        <v>0</v>
      </c>
      <c r="AD245" s="33">
        <f>VLOOKUP(ужин5,таб,107,FALSE)</f>
        <v>0</v>
      </c>
      <c r="AE245" s="33">
        <f>VLOOKUP(ужин6,таб,107,FALSE)</f>
        <v>0</v>
      </c>
      <c r="AF245" s="33">
        <f>VLOOKUP(ужин7,таб,107,FALSE)</f>
        <v>0</v>
      </c>
      <c r="AG245" s="87">
        <f>VLOOKUP(ужин8,таб,107,FALSE)</f>
        <v>0</v>
      </c>
      <c r="AH245" s="253"/>
      <c r="AI245" s="139">
        <f>AK245/сред</f>
        <v>0</v>
      </c>
      <c r="AJ245" s="140"/>
      <c r="AK245" s="143">
        <f>SUM(G246:AG246)</f>
        <v>0</v>
      </c>
      <c r="AL245" s="143"/>
      <c r="AM245" s="131">
        <f>IF(AK245=0,0,Таблиця!DD267)</f>
        <v>0</v>
      </c>
      <c r="AN245" s="129">
        <f>AK245*AM245</f>
        <v>0</v>
      </c>
      <c r="AO245" s="16"/>
      <c r="AP245" s="16"/>
      <c r="AQ245" s="102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DE245" s="54"/>
    </row>
    <row r="246" spans="1:109" ht="30.75" customHeight="1" hidden="1">
      <c r="A246" s="136"/>
      <c r="B246" s="137"/>
      <c r="C246" s="137"/>
      <c r="D246" s="137"/>
      <c r="E246" s="138"/>
      <c r="F246" s="107" t="s">
        <v>96</v>
      </c>
      <c r="G246" s="75">
        <f aca="true" t="shared" si="265" ref="G246:AG246">IF(G245=0,"",завтракл*G245/1000)</f>
      </c>
      <c r="H246" s="23">
        <f t="shared" si="265"/>
      </c>
      <c r="I246" s="23"/>
      <c r="J246" s="23">
        <f t="shared" si="265"/>
      </c>
      <c r="K246" s="23">
        <f t="shared" si="265"/>
      </c>
      <c r="L246" s="122">
        <f t="shared" si="265"/>
      </c>
      <c r="M246" s="75">
        <f t="shared" si="265"/>
      </c>
      <c r="N246" s="83">
        <f t="shared" si="265"/>
      </c>
      <c r="O246" s="75">
        <f t="shared" si="265"/>
      </c>
      <c r="P246" s="23">
        <f t="shared" si="265"/>
      </c>
      <c r="Q246" s="23">
        <f t="shared" si="265"/>
      </c>
      <c r="R246" s="23">
        <f t="shared" si="265"/>
      </c>
      <c r="S246" s="23">
        <f t="shared" si="265"/>
      </c>
      <c r="T246" s="23">
        <f t="shared" si="265"/>
      </c>
      <c r="U246" s="23">
        <f t="shared" si="265"/>
      </c>
      <c r="V246" s="83">
        <f t="shared" si="265"/>
      </c>
      <c r="W246" s="25">
        <f t="shared" si="265"/>
      </c>
      <c r="X246" s="23"/>
      <c r="Y246" s="83">
        <f t="shared" si="265"/>
      </c>
      <c r="Z246" s="25">
        <f t="shared" si="265"/>
      </c>
      <c r="AA246" s="23">
        <f t="shared" si="265"/>
      </c>
      <c r="AB246" s="23">
        <f t="shared" si="265"/>
      </c>
      <c r="AC246" s="23">
        <f t="shared" si="265"/>
      </c>
      <c r="AD246" s="23">
        <f t="shared" si="265"/>
      </c>
      <c r="AE246" s="23">
        <f t="shared" si="265"/>
      </c>
      <c r="AF246" s="23">
        <f t="shared" si="265"/>
      </c>
      <c r="AG246" s="83">
        <f t="shared" si="265"/>
      </c>
      <c r="AH246" s="254"/>
      <c r="AI246" s="139"/>
      <c r="AJ246" s="140"/>
      <c r="AK246" s="143"/>
      <c r="AL246" s="143"/>
      <c r="AM246" s="132"/>
      <c r="AN246" s="130"/>
      <c r="AO246" s="16"/>
      <c r="AP246" s="16"/>
      <c r="AQ246" s="102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DE246" s="54"/>
    </row>
    <row r="247" spans="1:109" ht="30.75" customHeight="1" hidden="1">
      <c r="A247" s="133" t="s">
        <v>464</v>
      </c>
      <c r="B247" s="134"/>
      <c r="C247" s="134"/>
      <c r="D247" s="134"/>
      <c r="E247" s="135"/>
      <c r="F247" s="106" t="s">
        <v>95</v>
      </c>
      <c r="G247" s="71">
        <f>VLOOKUP(завтрак1,таб,108,FALSE)</f>
        <v>0</v>
      </c>
      <c r="H247" s="26">
        <f>VLOOKUP(завтрак2,таб,108,FALSE)</f>
        <v>0</v>
      </c>
      <c r="I247" s="26"/>
      <c r="J247" s="26">
        <f>VLOOKUP(завтрак4,таб,108,FALSE)</f>
        <v>0</v>
      </c>
      <c r="K247" s="26">
        <f>VLOOKUP(завтрак5,таб,108,FALSE)</f>
        <v>0</v>
      </c>
      <c r="L247" s="116">
        <f>VLOOKUP(завтрак6,таб,108,FALSE)</f>
        <v>0</v>
      </c>
      <c r="M247" s="71">
        <f>VLOOKUP(завтрак7,таб,108,FALSE)</f>
        <v>0</v>
      </c>
      <c r="N247" s="81">
        <f>VLOOKUP(завтрак8,таб,108,FALSE)</f>
        <v>0</v>
      </c>
      <c r="O247" s="34">
        <f>VLOOKUP(обед1,таб,108,FALSE)</f>
        <v>0</v>
      </c>
      <c r="P247" s="33">
        <f>VLOOKUP(обед2,таб,108,FALSE)</f>
        <v>0</v>
      </c>
      <c r="Q247" s="33">
        <f>VLOOKUP(обед3,таб,108,FALSE)</f>
        <v>0</v>
      </c>
      <c r="R247" s="33">
        <f>VLOOKUP(обед4,таб,108,FALSE)</f>
        <v>0</v>
      </c>
      <c r="S247" s="33">
        <f>VLOOKUP(обед5,таб,108,FALSE)</f>
        <v>0</v>
      </c>
      <c r="T247" s="33">
        <f>VLOOKUP(обед6,таб,108,FALSE)</f>
        <v>0</v>
      </c>
      <c r="U247" s="33">
        <f>VLOOKUP(обед7,таб,108,FALSE)</f>
        <v>0</v>
      </c>
      <c r="V247" s="87">
        <f>VLOOKUP(обед8,таб,108,FALSE)</f>
        <v>0</v>
      </c>
      <c r="W247" s="34">
        <f>VLOOKUP(полдник1,таб,108,FALSE)</f>
        <v>0</v>
      </c>
      <c r="X247" s="33"/>
      <c r="Y247" s="87">
        <f>VLOOKUP(полдник3,таб,108,FALSE)</f>
        <v>0</v>
      </c>
      <c r="Z247" s="34">
        <f>VLOOKUP(ужин1,таб,108,FALSE)</f>
        <v>0</v>
      </c>
      <c r="AA247" s="33">
        <f>VLOOKUP(ужин2,таб,108,FALSE)</f>
        <v>0</v>
      </c>
      <c r="AB247" s="33">
        <f>VLOOKUP(ужин3,таб,108,FALSE)</f>
        <v>0</v>
      </c>
      <c r="AC247" s="33">
        <f>VLOOKUP(ужин4,таб,108,FALSE)</f>
        <v>0</v>
      </c>
      <c r="AD247" s="33">
        <f>VLOOKUP(ужин5,таб,108,FALSE)</f>
        <v>0</v>
      </c>
      <c r="AE247" s="33">
        <f>VLOOKUP(ужин6,таб,108,FALSE)</f>
        <v>0</v>
      </c>
      <c r="AF247" s="33">
        <f>VLOOKUP(ужин7,таб,108,FALSE)</f>
        <v>0</v>
      </c>
      <c r="AG247" s="87">
        <f>VLOOKUP(ужин8,таб,108,FALSE)</f>
        <v>0</v>
      </c>
      <c r="AH247" s="253"/>
      <c r="AI247" s="139">
        <f>AK247/сред</f>
        <v>0</v>
      </c>
      <c r="AJ247" s="140"/>
      <c r="AK247" s="143">
        <f>SUM(G248:AG248)</f>
        <v>0</v>
      </c>
      <c r="AL247" s="143"/>
      <c r="AM247" s="131">
        <f>IF(AK247=0,0,Таблиця!DE267)</f>
        <v>0</v>
      </c>
      <c r="AN247" s="129">
        <f>AK247*AM247</f>
        <v>0</v>
      </c>
      <c r="AO247" s="16"/>
      <c r="AP247" s="16"/>
      <c r="AQ247" s="102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DE247" s="54"/>
    </row>
    <row r="248" spans="1:109" ht="30.75" customHeight="1" hidden="1">
      <c r="A248" s="136"/>
      <c r="B248" s="137"/>
      <c r="C248" s="137"/>
      <c r="D248" s="137"/>
      <c r="E248" s="138"/>
      <c r="F248" s="107" t="s">
        <v>96</v>
      </c>
      <c r="G248" s="75">
        <f aca="true" t="shared" si="266" ref="G248:AG248">IF(G247=0,"",завтракл*G247/1000)</f>
      </c>
      <c r="H248" s="23">
        <f t="shared" si="266"/>
      </c>
      <c r="I248" s="23"/>
      <c r="J248" s="23">
        <f t="shared" si="266"/>
      </c>
      <c r="K248" s="23">
        <f t="shared" si="266"/>
      </c>
      <c r="L248" s="122">
        <f t="shared" si="266"/>
      </c>
      <c r="M248" s="75">
        <f t="shared" si="266"/>
      </c>
      <c r="N248" s="83">
        <f t="shared" si="266"/>
      </c>
      <c r="O248" s="75">
        <f t="shared" si="266"/>
      </c>
      <c r="P248" s="23">
        <f t="shared" si="266"/>
      </c>
      <c r="Q248" s="23">
        <f t="shared" si="266"/>
      </c>
      <c r="R248" s="23">
        <f t="shared" si="266"/>
      </c>
      <c r="S248" s="23">
        <f t="shared" si="266"/>
      </c>
      <c r="T248" s="23">
        <f t="shared" si="266"/>
      </c>
      <c r="U248" s="23">
        <f t="shared" si="266"/>
      </c>
      <c r="V248" s="83">
        <f t="shared" si="266"/>
      </c>
      <c r="W248" s="25">
        <f t="shared" si="266"/>
      </c>
      <c r="X248" s="23"/>
      <c r="Y248" s="83">
        <f t="shared" si="266"/>
      </c>
      <c r="Z248" s="25">
        <f t="shared" si="266"/>
      </c>
      <c r="AA248" s="23">
        <f t="shared" si="266"/>
      </c>
      <c r="AB248" s="23">
        <f t="shared" si="266"/>
      </c>
      <c r="AC248" s="23">
        <f t="shared" si="266"/>
      </c>
      <c r="AD248" s="23">
        <f t="shared" si="266"/>
      </c>
      <c r="AE248" s="23">
        <f t="shared" si="266"/>
      </c>
      <c r="AF248" s="23">
        <f t="shared" si="266"/>
      </c>
      <c r="AG248" s="83">
        <f t="shared" si="266"/>
      </c>
      <c r="AH248" s="254"/>
      <c r="AI248" s="139"/>
      <c r="AJ248" s="140"/>
      <c r="AK248" s="143"/>
      <c r="AL248" s="143"/>
      <c r="AM248" s="132"/>
      <c r="AN248" s="130"/>
      <c r="AO248" s="16"/>
      <c r="AP248" s="16"/>
      <c r="AQ248" s="102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DE248" s="54"/>
    </row>
    <row r="249" spans="1:109" ht="30.75" customHeight="1" hidden="1">
      <c r="A249" s="133" t="s">
        <v>465</v>
      </c>
      <c r="B249" s="134"/>
      <c r="C249" s="134"/>
      <c r="D249" s="134"/>
      <c r="E249" s="135"/>
      <c r="F249" s="106" t="s">
        <v>95</v>
      </c>
      <c r="G249" s="71">
        <f>VLOOKUP(завтрак1,таб,109,FALSE)</f>
        <v>0</v>
      </c>
      <c r="H249" s="26">
        <f>VLOOKUP(завтрак2,таб,109,FALSE)</f>
        <v>0</v>
      </c>
      <c r="I249" s="26"/>
      <c r="J249" s="26">
        <f>VLOOKUP(завтрак4,таб,109,FALSE)</f>
        <v>0</v>
      </c>
      <c r="K249" s="26">
        <f>VLOOKUP(завтрак5,таб,109,FALSE)</f>
        <v>0</v>
      </c>
      <c r="L249" s="116">
        <f>VLOOKUP(завтрак6,таб,109,FALSE)</f>
        <v>0</v>
      </c>
      <c r="M249" s="71">
        <f>VLOOKUP(завтрак7,таб,109,FALSE)</f>
        <v>0</v>
      </c>
      <c r="N249" s="81">
        <f>VLOOKUP(завтрак8,таб,109,FALSE)</f>
        <v>0</v>
      </c>
      <c r="O249" s="34">
        <f>VLOOKUP(обед1,таб,109,FALSE)</f>
        <v>0</v>
      </c>
      <c r="P249" s="33">
        <f>VLOOKUP(обед2,таб,109,FALSE)</f>
        <v>0</v>
      </c>
      <c r="Q249" s="33">
        <f>VLOOKUP(обед3,таб,109,FALSE)</f>
        <v>0</v>
      </c>
      <c r="R249" s="33">
        <f>VLOOKUP(обед4,таб,109,FALSE)</f>
        <v>0</v>
      </c>
      <c r="S249" s="33">
        <f>VLOOKUP(обед5,таб,109,FALSE)</f>
        <v>0</v>
      </c>
      <c r="T249" s="33">
        <f>VLOOKUP(обед6,таб,109,FALSE)</f>
        <v>0</v>
      </c>
      <c r="U249" s="33">
        <f>VLOOKUP(обед7,таб,109,FALSE)</f>
        <v>0</v>
      </c>
      <c r="V249" s="87">
        <f>VLOOKUP(обед8,таб,109,FALSE)</f>
        <v>0</v>
      </c>
      <c r="W249" s="34">
        <f>VLOOKUP(полдник1,таб,109,FALSE)</f>
        <v>0</v>
      </c>
      <c r="X249" s="33"/>
      <c r="Y249" s="87">
        <f>VLOOKUP(полдник3,таб,109,FALSE)</f>
        <v>0</v>
      </c>
      <c r="Z249" s="34">
        <f>VLOOKUP(ужин1,таб,109,FALSE)</f>
        <v>0</v>
      </c>
      <c r="AA249" s="33">
        <f>VLOOKUP(ужин2,таб,109,FALSE)</f>
        <v>0</v>
      </c>
      <c r="AB249" s="33">
        <f>VLOOKUP(ужин3,таб,109,FALSE)</f>
        <v>0</v>
      </c>
      <c r="AC249" s="33">
        <f>VLOOKUP(ужин4,таб,109,FALSE)</f>
        <v>0</v>
      </c>
      <c r="AD249" s="33">
        <f>VLOOKUP(ужин5,таб,109,FALSE)</f>
        <v>0</v>
      </c>
      <c r="AE249" s="33">
        <f>VLOOKUP(ужин6,таб,109,FALSE)</f>
        <v>0</v>
      </c>
      <c r="AF249" s="33">
        <f>VLOOKUP(ужин7,таб,109,FALSE)</f>
        <v>0</v>
      </c>
      <c r="AG249" s="87">
        <f>VLOOKUP(ужин8,таб,109,FALSE)</f>
        <v>0</v>
      </c>
      <c r="AH249" s="253"/>
      <c r="AI249" s="139">
        <f>AK249/сред</f>
        <v>0</v>
      </c>
      <c r="AJ249" s="140"/>
      <c r="AK249" s="143">
        <f>SUM(G250:AG250)</f>
        <v>0</v>
      </c>
      <c r="AL249" s="143"/>
      <c r="AM249" s="131">
        <f>IF(AK249=0,0,Таблиця!DF267)</f>
        <v>0</v>
      </c>
      <c r="AN249" s="129">
        <f>AK249*AM249</f>
        <v>0</v>
      </c>
      <c r="AO249" s="16"/>
      <c r="AP249" s="16"/>
      <c r="AQ249" s="102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DE249" s="54"/>
    </row>
    <row r="250" spans="1:109" ht="30.75" customHeight="1" hidden="1">
      <c r="A250" s="136"/>
      <c r="B250" s="137"/>
      <c r="C250" s="137"/>
      <c r="D250" s="137"/>
      <c r="E250" s="138"/>
      <c r="F250" s="107" t="s">
        <v>96</v>
      </c>
      <c r="G250" s="75">
        <f aca="true" t="shared" si="267" ref="G250:AG250">IF(G249=0,"",завтракл*G249/1000)</f>
      </c>
      <c r="H250" s="23">
        <f t="shared" si="267"/>
      </c>
      <c r="I250" s="23"/>
      <c r="J250" s="23">
        <f t="shared" si="267"/>
      </c>
      <c r="K250" s="23">
        <f t="shared" si="267"/>
      </c>
      <c r="L250" s="122">
        <f t="shared" si="267"/>
      </c>
      <c r="M250" s="75">
        <f t="shared" si="267"/>
      </c>
      <c r="N250" s="83">
        <f t="shared" si="267"/>
      </c>
      <c r="O250" s="75">
        <f t="shared" si="267"/>
      </c>
      <c r="P250" s="23">
        <f t="shared" si="267"/>
      </c>
      <c r="Q250" s="23">
        <f t="shared" si="267"/>
      </c>
      <c r="R250" s="23">
        <f t="shared" si="267"/>
      </c>
      <c r="S250" s="23">
        <f t="shared" si="267"/>
      </c>
      <c r="T250" s="23">
        <f t="shared" si="267"/>
      </c>
      <c r="U250" s="23">
        <f t="shared" si="267"/>
      </c>
      <c r="V250" s="83">
        <f t="shared" si="267"/>
      </c>
      <c r="W250" s="25">
        <f t="shared" si="267"/>
      </c>
      <c r="X250" s="23"/>
      <c r="Y250" s="83">
        <f t="shared" si="267"/>
      </c>
      <c r="Z250" s="25">
        <f t="shared" si="267"/>
      </c>
      <c r="AA250" s="23">
        <f t="shared" si="267"/>
      </c>
      <c r="AB250" s="23">
        <f t="shared" si="267"/>
      </c>
      <c r="AC250" s="23">
        <f t="shared" si="267"/>
      </c>
      <c r="AD250" s="23">
        <f t="shared" si="267"/>
      </c>
      <c r="AE250" s="23">
        <f t="shared" si="267"/>
      </c>
      <c r="AF250" s="23">
        <f t="shared" si="267"/>
      </c>
      <c r="AG250" s="83">
        <f t="shared" si="267"/>
      </c>
      <c r="AH250" s="254"/>
      <c r="AI250" s="139"/>
      <c r="AJ250" s="140"/>
      <c r="AK250" s="143"/>
      <c r="AL250" s="143"/>
      <c r="AM250" s="132"/>
      <c r="AN250" s="130"/>
      <c r="AO250" s="16"/>
      <c r="AP250" s="16"/>
      <c r="AQ250" s="102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DE250" s="54"/>
    </row>
    <row r="251" spans="1:109" ht="30.75" customHeight="1" hidden="1">
      <c r="A251" s="133" t="s">
        <v>466</v>
      </c>
      <c r="B251" s="134"/>
      <c r="C251" s="134"/>
      <c r="D251" s="134"/>
      <c r="E251" s="135"/>
      <c r="F251" s="106" t="s">
        <v>95</v>
      </c>
      <c r="G251" s="71">
        <f>VLOOKUP(завтрак1,таб,110,FALSE)</f>
        <v>0</v>
      </c>
      <c r="H251" s="26">
        <f>VLOOKUP(завтрак2,таб,110,FALSE)</f>
        <v>0</v>
      </c>
      <c r="I251" s="26"/>
      <c r="J251" s="26">
        <f>VLOOKUP(завтрак4,таб,110,FALSE)</f>
        <v>0</v>
      </c>
      <c r="K251" s="26">
        <f>VLOOKUP(завтрак5,таб,110,FALSE)</f>
        <v>0</v>
      </c>
      <c r="L251" s="116">
        <f>VLOOKUP(завтрак6,таб,110,FALSE)</f>
        <v>0</v>
      </c>
      <c r="M251" s="71">
        <f>VLOOKUP(завтрак7,таб,110,FALSE)</f>
        <v>0</v>
      </c>
      <c r="N251" s="81">
        <f>VLOOKUP(завтрак8,таб,110,FALSE)</f>
        <v>0</v>
      </c>
      <c r="O251" s="34">
        <f>VLOOKUP(обед1,таб,110,FALSE)</f>
        <v>0</v>
      </c>
      <c r="P251" s="33">
        <f>VLOOKUP(обед2,таб,110,FALSE)</f>
        <v>0</v>
      </c>
      <c r="Q251" s="33">
        <f>VLOOKUP(обед3,таб,110,FALSE)</f>
        <v>0</v>
      </c>
      <c r="R251" s="33">
        <f>VLOOKUP(обед4,таб,110,FALSE)</f>
        <v>0</v>
      </c>
      <c r="S251" s="33">
        <f>VLOOKUP(обед5,таб,110,FALSE)</f>
        <v>0</v>
      </c>
      <c r="T251" s="33">
        <f>VLOOKUP(обед6,таб,110,FALSE)</f>
        <v>0</v>
      </c>
      <c r="U251" s="33">
        <f>VLOOKUP(обед7,таб,110,FALSE)</f>
        <v>0</v>
      </c>
      <c r="V251" s="87">
        <f>VLOOKUP(обед8,таб,110,FALSE)</f>
        <v>0</v>
      </c>
      <c r="W251" s="34">
        <f>VLOOKUP(полдник1,таб,110,FALSE)</f>
        <v>0</v>
      </c>
      <c r="X251" s="33"/>
      <c r="Y251" s="87">
        <f>VLOOKUP(полдник3,таб,110,FALSE)</f>
        <v>0</v>
      </c>
      <c r="Z251" s="34">
        <f>VLOOKUP(ужин1,таб,110,FALSE)</f>
        <v>0</v>
      </c>
      <c r="AA251" s="33">
        <f>VLOOKUP(ужин2,таб,110,FALSE)</f>
        <v>0</v>
      </c>
      <c r="AB251" s="33">
        <f>VLOOKUP(ужин3,таб,110,FALSE)</f>
        <v>0</v>
      </c>
      <c r="AC251" s="33">
        <f>VLOOKUP(ужин4,таб,110,FALSE)</f>
        <v>0</v>
      </c>
      <c r="AD251" s="33">
        <f>VLOOKUP(ужин5,таб,110,FALSE)</f>
        <v>0</v>
      </c>
      <c r="AE251" s="33">
        <f>VLOOKUP(ужин6,таб,110,FALSE)</f>
        <v>0</v>
      </c>
      <c r="AF251" s="33">
        <f>VLOOKUP(ужин7,таб,110,FALSE)</f>
        <v>0</v>
      </c>
      <c r="AG251" s="87">
        <f>VLOOKUP(ужин8,таб,110,FALSE)</f>
        <v>0</v>
      </c>
      <c r="AH251" s="253"/>
      <c r="AI251" s="139">
        <f>AK251/сред</f>
        <v>0</v>
      </c>
      <c r="AJ251" s="140"/>
      <c r="AK251" s="143">
        <f>SUM(G252:AG252)</f>
        <v>0</v>
      </c>
      <c r="AL251" s="143"/>
      <c r="AM251" s="131">
        <f>IF(AK251=0,0,Таблиця!DG267)</f>
        <v>0</v>
      </c>
      <c r="AN251" s="129">
        <f>AK251*AM251</f>
        <v>0</v>
      </c>
      <c r="AO251" s="16"/>
      <c r="AP251" s="16"/>
      <c r="AQ251" s="102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DE251" s="54"/>
    </row>
    <row r="252" spans="1:109" ht="30.75" customHeight="1" hidden="1">
      <c r="A252" s="136"/>
      <c r="B252" s="137"/>
      <c r="C252" s="137"/>
      <c r="D252" s="137"/>
      <c r="E252" s="138"/>
      <c r="F252" s="107" t="s">
        <v>96</v>
      </c>
      <c r="G252" s="75">
        <f aca="true" t="shared" si="268" ref="G252:AG252">IF(G251=0,"",завтракл*G251/1000)</f>
      </c>
      <c r="H252" s="23">
        <f t="shared" si="268"/>
      </c>
      <c r="I252" s="23"/>
      <c r="J252" s="23">
        <f t="shared" si="268"/>
      </c>
      <c r="K252" s="23">
        <f t="shared" si="268"/>
      </c>
      <c r="L252" s="122">
        <f t="shared" si="268"/>
      </c>
      <c r="M252" s="75">
        <f t="shared" si="268"/>
      </c>
      <c r="N252" s="83">
        <f t="shared" si="268"/>
      </c>
      <c r="O252" s="75">
        <f t="shared" si="268"/>
      </c>
      <c r="P252" s="23">
        <f t="shared" si="268"/>
      </c>
      <c r="Q252" s="23">
        <f t="shared" si="268"/>
      </c>
      <c r="R252" s="23">
        <f t="shared" si="268"/>
      </c>
      <c r="S252" s="23">
        <f t="shared" si="268"/>
      </c>
      <c r="T252" s="23">
        <f t="shared" si="268"/>
      </c>
      <c r="U252" s="23">
        <f t="shared" si="268"/>
      </c>
      <c r="V252" s="83">
        <f t="shared" si="268"/>
      </c>
      <c r="W252" s="25">
        <f t="shared" si="268"/>
      </c>
      <c r="X252" s="23"/>
      <c r="Y252" s="83">
        <f t="shared" si="268"/>
      </c>
      <c r="Z252" s="25">
        <f t="shared" si="268"/>
      </c>
      <c r="AA252" s="23">
        <f t="shared" si="268"/>
      </c>
      <c r="AB252" s="23">
        <f t="shared" si="268"/>
      </c>
      <c r="AC252" s="23">
        <f t="shared" si="268"/>
      </c>
      <c r="AD252" s="23">
        <f t="shared" si="268"/>
      </c>
      <c r="AE252" s="23">
        <f t="shared" si="268"/>
      </c>
      <c r="AF252" s="23">
        <f t="shared" si="268"/>
      </c>
      <c r="AG252" s="83">
        <f t="shared" si="268"/>
      </c>
      <c r="AH252" s="254"/>
      <c r="AI252" s="139"/>
      <c r="AJ252" s="140"/>
      <c r="AK252" s="143"/>
      <c r="AL252" s="143"/>
      <c r="AM252" s="132"/>
      <c r="AN252" s="130"/>
      <c r="AO252" s="16"/>
      <c r="AP252" s="16"/>
      <c r="AQ252" s="102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DE252" s="54"/>
    </row>
    <row r="253" spans="1:109" ht="30.75" customHeight="1" hidden="1">
      <c r="A253" s="133" t="s">
        <v>467</v>
      </c>
      <c r="B253" s="134"/>
      <c r="C253" s="134"/>
      <c r="D253" s="134"/>
      <c r="E253" s="135"/>
      <c r="F253" s="106" t="s">
        <v>95</v>
      </c>
      <c r="G253" s="71">
        <f>VLOOKUP(завтрак1,таб,111,FALSE)</f>
        <v>0</v>
      </c>
      <c r="H253" s="26">
        <f>VLOOKUP(завтрак2,таб,111,FALSE)</f>
        <v>0</v>
      </c>
      <c r="I253" s="26"/>
      <c r="J253" s="26">
        <f>VLOOKUP(завтрак4,таб,111,FALSE)</f>
        <v>0</v>
      </c>
      <c r="K253" s="26">
        <f>VLOOKUP(завтрак5,таб,111,FALSE)</f>
        <v>0</v>
      </c>
      <c r="L253" s="116">
        <f>VLOOKUP(завтрак6,таб,111,FALSE)</f>
        <v>0</v>
      </c>
      <c r="M253" s="71">
        <f>VLOOKUP(завтрак7,таб,111,FALSE)</f>
        <v>0</v>
      </c>
      <c r="N253" s="81">
        <f>VLOOKUP(завтрак8,таб,111,FALSE)</f>
        <v>0</v>
      </c>
      <c r="O253" s="34">
        <f>VLOOKUP(обед1,таб,111,FALSE)</f>
        <v>0</v>
      </c>
      <c r="P253" s="33"/>
      <c r="Q253" s="33">
        <f>VLOOKUP(обед3,таб,111,FALSE)</f>
        <v>0</v>
      </c>
      <c r="R253" s="33">
        <f>VLOOKUP(обед4,таб,111,FALSE)</f>
        <v>0</v>
      </c>
      <c r="S253" s="33">
        <f>VLOOKUP(обед5,таб,111,FALSE)</f>
        <v>0</v>
      </c>
      <c r="T253" s="33">
        <f>VLOOKUP(обед6,таб,111,FALSE)</f>
        <v>0</v>
      </c>
      <c r="U253" s="33">
        <f>VLOOKUP(обед7,таб,111,FALSE)</f>
        <v>0</v>
      </c>
      <c r="V253" s="87">
        <f>VLOOKUP(обед8,таб,111,FALSE)</f>
        <v>0</v>
      </c>
      <c r="W253" s="34">
        <f>VLOOKUP(полдник1,таб,111,FALSE)</f>
        <v>0</v>
      </c>
      <c r="X253" s="33"/>
      <c r="Y253" s="87">
        <f>VLOOKUP(полдник3,таб,111,FALSE)</f>
        <v>0</v>
      </c>
      <c r="Z253" s="34">
        <f>VLOOKUP(ужин1,таб,111,FALSE)</f>
        <v>0</v>
      </c>
      <c r="AA253" s="33">
        <f>VLOOKUP(ужин2,таб,111,FALSE)</f>
        <v>0</v>
      </c>
      <c r="AB253" s="33">
        <f>VLOOKUP(ужин3,таб,111,FALSE)</f>
        <v>0</v>
      </c>
      <c r="AC253" s="33">
        <f>VLOOKUP(ужин4,таб,111,FALSE)</f>
        <v>0</v>
      </c>
      <c r="AD253" s="33">
        <f>VLOOKUP(ужин5,таб,111,FALSE)</f>
        <v>0</v>
      </c>
      <c r="AE253" s="33">
        <f>VLOOKUP(ужин6,таб,111,FALSE)</f>
        <v>0</v>
      </c>
      <c r="AF253" s="33">
        <f>VLOOKUP(ужин7,таб,111,FALSE)</f>
        <v>0</v>
      </c>
      <c r="AG253" s="87">
        <f>VLOOKUP(ужин8,таб,111,FALSE)</f>
        <v>0</v>
      </c>
      <c r="AH253" s="253"/>
      <c r="AI253" s="139">
        <f>AK253/сред</f>
        <v>0</v>
      </c>
      <c r="AJ253" s="140"/>
      <c r="AK253" s="143">
        <f>SUM(G254:AG254)</f>
        <v>0</v>
      </c>
      <c r="AL253" s="143"/>
      <c r="AM253" s="131">
        <f>IF(AK253=0,0,Таблиця!DH267)</f>
        <v>0</v>
      </c>
      <c r="AN253" s="129">
        <f>AK253*AM253</f>
        <v>0</v>
      </c>
      <c r="AO253" s="16"/>
      <c r="AP253" s="16"/>
      <c r="AQ253" s="102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DE253" s="54"/>
    </row>
    <row r="254" spans="1:109" ht="30.75" customHeight="1" hidden="1">
      <c r="A254" s="136"/>
      <c r="B254" s="137"/>
      <c r="C254" s="137"/>
      <c r="D254" s="137"/>
      <c r="E254" s="138"/>
      <c r="F254" s="107" t="s">
        <v>96</v>
      </c>
      <c r="G254" s="75">
        <f aca="true" t="shared" si="269" ref="G254:AG254">IF(G253=0,"",завтракл*G253/1000)</f>
      </c>
      <c r="H254" s="23">
        <f t="shared" si="269"/>
      </c>
      <c r="I254" s="23"/>
      <c r="J254" s="23">
        <f t="shared" si="269"/>
      </c>
      <c r="K254" s="23">
        <f t="shared" si="269"/>
      </c>
      <c r="L254" s="122">
        <f t="shared" si="269"/>
      </c>
      <c r="M254" s="75">
        <f t="shared" si="269"/>
      </c>
      <c r="N254" s="83">
        <f t="shared" si="269"/>
      </c>
      <c r="O254" s="75">
        <f t="shared" si="269"/>
      </c>
      <c r="P254" s="23"/>
      <c r="Q254" s="23">
        <f t="shared" si="269"/>
      </c>
      <c r="R254" s="23">
        <f t="shared" si="269"/>
      </c>
      <c r="S254" s="23">
        <f t="shared" si="269"/>
      </c>
      <c r="T254" s="23">
        <f t="shared" si="269"/>
      </c>
      <c r="U254" s="23">
        <f t="shared" si="269"/>
      </c>
      <c r="V254" s="83">
        <f t="shared" si="269"/>
      </c>
      <c r="W254" s="25">
        <f t="shared" si="269"/>
      </c>
      <c r="X254" s="23"/>
      <c r="Y254" s="83">
        <f t="shared" si="269"/>
      </c>
      <c r="Z254" s="25">
        <f t="shared" si="269"/>
      </c>
      <c r="AA254" s="23">
        <f t="shared" si="269"/>
      </c>
      <c r="AB254" s="23">
        <f t="shared" si="269"/>
      </c>
      <c r="AC254" s="23">
        <f t="shared" si="269"/>
      </c>
      <c r="AD254" s="23">
        <f t="shared" si="269"/>
      </c>
      <c r="AE254" s="23">
        <f t="shared" si="269"/>
      </c>
      <c r="AF254" s="23">
        <f t="shared" si="269"/>
      </c>
      <c r="AG254" s="83">
        <f t="shared" si="269"/>
      </c>
      <c r="AH254" s="254"/>
      <c r="AI254" s="139"/>
      <c r="AJ254" s="140"/>
      <c r="AK254" s="143"/>
      <c r="AL254" s="143"/>
      <c r="AM254" s="132"/>
      <c r="AN254" s="130"/>
      <c r="AO254" s="16"/>
      <c r="AP254" s="16"/>
      <c r="AQ254" s="102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DE254" s="54"/>
    </row>
    <row r="255" spans="1:109" ht="30.75" customHeight="1" hidden="1">
      <c r="A255" s="133" t="s">
        <v>468</v>
      </c>
      <c r="B255" s="134"/>
      <c r="C255" s="134"/>
      <c r="D255" s="134"/>
      <c r="E255" s="135"/>
      <c r="F255" s="106" t="s">
        <v>95</v>
      </c>
      <c r="G255" s="71">
        <f>VLOOKUP(завтрак1,таб,112,FALSE)</f>
        <v>0</v>
      </c>
      <c r="H255" s="26">
        <f>VLOOKUP(завтрак2,таб,112,FALSE)</f>
        <v>0</v>
      </c>
      <c r="I255" s="26"/>
      <c r="J255" s="26">
        <f>VLOOKUP(завтрак4,таб,112,FALSE)</f>
        <v>0</v>
      </c>
      <c r="K255" s="26">
        <f>VLOOKUP(завтрак5,таб,112,FALSE)</f>
        <v>0</v>
      </c>
      <c r="L255" s="116">
        <f>VLOOKUP(завтрак6,таб,112,FALSE)</f>
        <v>0</v>
      </c>
      <c r="M255" s="71">
        <f>VLOOKUP(завтрак7,таб,112,FALSE)</f>
        <v>0</v>
      </c>
      <c r="N255" s="81">
        <f>VLOOKUP(завтрак8,таб,112,FALSE)</f>
        <v>0</v>
      </c>
      <c r="O255" s="34">
        <f>VLOOKUP(обед1,таб,112,FALSE)</f>
        <v>0</v>
      </c>
      <c r="P255" s="33"/>
      <c r="Q255" s="33">
        <f>VLOOKUP(обед3,таб,112,FALSE)</f>
        <v>0</v>
      </c>
      <c r="R255" s="33">
        <f>VLOOKUP(обед4,таб,112,FALSE)</f>
        <v>0</v>
      </c>
      <c r="S255" s="33">
        <f>VLOOKUP(обед5,таб,112,FALSE)</f>
        <v>0</v>
      </c>
      <c r="T255" s="33">
        <f>VLOOKUP(обед6,таб,112,FALSE)</f>
        <v>0</v>
      </c>
      <c r="U255" s="33">
        <f>VLOOKUP(обед7,таб,112,FALSE)</f>
        <v>0</v>
      </c>
      <c r="V255" s="87">
        <f>VLOOKUP(обед8,таб,112,FALSE)</f>
        <v>0</v>
      </c>
      <c r="W255" s="34">
        <f>VLOOKUP(полдник1,таб,112,FALSE)</f>
        <v>0</v>
      </c>
      <c r="X255" s="33"/>
      <c r="Y255" s="87">
        <f>VLOOKUP(полдник3,таб,112,FALSE)</f>
        <v>0</v>
      </c>
      <c r="Z255" s="34">
        <f>VLOOKUP(ужин1,таб,112,FALSE)</f>
        <v>0</v>
      </c>
      <c r="AA255" s="33">
        <f>VLOOKUP(ужин2,таб,112,FALSE)</f>
        <v>0</v>
      </c>
      <c r="AB255" s="33">
        <f>VLOOKUP(ужин3,таб,112,FALSE)</f>
        <v>0</v>
      </c>
      <c r="AC255" s="33">
        <f>VLOOKUP(ужин4,таб,112,FALSE)</f>
        <v>0</v>
      </c>
      <c r="AD255" s="33">
        <f>VLOOKUP(ужин5,таб,112,FALSE)</f>
        <v>0</v>
      </c>
      <c r="AE255" s="33">
        <f>VLOOKUP(ужин6,таб,112,FALSE)</f>
        <v>0</v>
      </c>
      <c r="AF255" s="33">
        <f>VLOOKUP(ужин7,таб,112,FALSE)</f>
        <v>0</v>
      </c>
      <c r="AG255" s="87">
        <f>VLOOKUP(ужин8,таб,112,FALSE)</f>
        <v>0</v>
      </c>
      <c r="AH255" s="253"/>
      <c r="AI255" s="139">
        <f>AK255/сред</f>
        <v>0</v>
      </c>
      <c r="AJ255" s="140"/>
      <c r="AK255" s="143">
        <f>SUM(G256:AG256)</f>
        <v>0</v>
      </c>
      <c r="AL255" s="143"/>
      <c r="AM255" s="131">
        <f>IF(AK255=0,0,Таблиця!DI267)</f>
        <v>0</v>
      </c>
      <c r="AN255" s="129">
        <f>AK255*AM255</f>
        <v>0</v>
      </c>
      <c r="AO255" s="16"/>
      <c r="AP255" s="16"/>
      <c r="AQ255" s="102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DE255" s="54"/>
    </row>
    <row r="256" spans="1:109" ht="30.75" customHeight="1" hidden="1">
      <c r="A256" s="136"/>
      <c r="B256" s="137"/>
      <c r="C256" s="137"/>
      <c r="D256" s="137"/>
      <c r="E256" s="138"/>
      <c r="F256" s="107" t="s">
        <v>96</v>
      </c>
      <c r="G256" s="75">
        <f aca="true" t="shared" si="270" ref="G256:AG256">IF(G255=0,"",завтракл*G255/1000)</f>
      </c>
      <c r="H256" s="23">
        <f t="shared" si="270"/>
      </c>
      <c r="I256" s="23"/>
      <c r="J256" s="23">
        <f t="shared" si="270"/>
      </c>
      <c r="K256" s="23">
        <f t="shared" si="270"/>
      </c>
      <c r="L256" s="122">
        <f t="shared" si="270"/>
      </c>
      <c r="M256" s="75">
        <f t="shared" si="270"/>
      </c>
      <c r="N256" s="83">
        <f t="shared" si="270"/>
      </c>
      <c r="O256" s="75">
        <f t="shared" si="270"/>
      </c>
      <c r="P256" s="23">
        <f t="shared" si="270"/>
      </c>
      <c r="Q256" s="23">
        <f t="shared" si="270"/>
      </c>
      <c r="R256" s="23">
        <f t="shared" si="270"/>
      </c>
      <c r="S256" s="23">
        <f t="shared" si="270"/>
      </c>
      <c r="T256" s="23">
        <f t="shared" si="270"/>
      </c>
      <c r="U256" s="23">
        <f t="shared" si="270"/>
      </c>
      <c r="V256" s="83">
        <f t="shared" si="270"/>
      </c>
      <c r="W256" s="25">
        <f t="shared" si="270"/>
      </c>
      <c r="X256" s="23"/>
      <c r="Y256" s="83">
        <f t="shared" si="270"/>
      </c>
      <c r="Z256" s="25">
        <f t="shared" si="270"/>
      </c>
      <c r="AA256" s="23">
        <f t="shared" si="270"/>
      </c>
      <c r="AB256" s="23">
        <f t="shared" si="270"/>
      </c>
      <c r="AC256" s="23">
        <f t="shared" si="270"/>
      </c>
      <c r="AD256" s="23">
        <f t="shared" si="270"/>
      </c>
      <c r="AE256" s="23">
        <f t="shared" si="270"/>
      </c>
      <c r="AF256" s="23">
        <f t="shared" si="270"/>
      </c>
      <c r="AG256" s="83">
        <f t="shared" si="270"/>
      </c>
      <c r="AH256" s="254"/>
      <c r="AI256" s="139"/>
      <c r="AJ256" s="140"/>
      <c r="AK256" s="143"/>
      <c r="AL256" s="143"/>
      <c r="AM256" s="132"/>
      <c r="AN256" s="130"/>
      <c r="AO256" s="16"/>
      <c r="AP256" s="16"/>
      <c r="AQ256" s="102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DE256" s="54"/>
    </row>
    <row r="257" spans="1:109" ht="30.75" customHeight="1" hidden="1">
      <c r="A257" s="133" t="s">
        <v>469</v>
      </c>
      <c r="B257" s="134"/>
      <c r="C257" s="134"/>
      <c r="D257" s="134"/>
      <c r="E257" s="135"/>
      <c r="F257" s="106" t="s">
        <v>95</v>
      </c>
      <c r="G257" s="71">
        <f>VLOOKUP(завтрак1,таб,113,FALSE)</f>
        <v>0</v>
      </c>
      <c r="H257" s="26">
        <f>VLOOKUP(завтрак2,таб,113,FALSE)</f>
        <v>0</v>
      </c>
      <c r="I257" s="26"/>
      <c r="J257" s="26">
        <f>VLOOKUP(завтрак4,таб,113,FALSE)</f>
        <v>0</v>
      </c>
      <c r="K257" s="26">
        <f>VLOOKUP(завтрак5,таб,113,FALSE)</f>
        <v>0</v>
      </c>
      <c r="L257" s="116">
        <f>VLOOKUP(завтрак6,таб,113,FALSE)</f>
        <v>0</v>
      </c>
      <c r="M257" s="71">
        <f>VLOOKUP(завтрак7,таб,113,FALSE)</f>
        <v>0</v>
      </c>
      <c r="N257" s="81">
        <f>VLOOKUP(завтрак8,таб,113,FALSE)</f>
        <v>0</v>
      </c>
      <c r="O257" s="34">
        <f>VLOOKUP(обед1,таб,113,FALSE)</f>
        <v>0</v>
      </c>
      <c r="P257" s="33">
        <f>VLOOKUP(обед2,таб,113,FALSE)</f>
        <v>0</v>
      </c>
      <c r="Q257" s="33">
        <f>VLOOKUP(обед3,таб,113,FALSE)</f>
        <v>0</v>
      </c>
      <c r="R257" s="33">
        <f>VLOOKUP(обед4,таб,113,FALSE)</f>
        <v>0</v>
      </c>
      <c r="S257" s="33">
        <f>VLOOKUP(обед5,таб,113,FALSE)</f>
        <v>0</v>
      </c>
      <c r="T257" s="33">
        <f>VLOOKUP(обед6,таб,113,FALSE)</f>
        <v>0</v>
      </c>
      <c r="U257" s="33">
        <f>VLOOKUP(обед7,таб,113,FALSE)</f>
        <v>0</v>
      </c>
      <c r="V257" s="87">
        <f>VLOOKUP(обед8,таб,113,FALSE)</f>
        <v>0</v>
      </c>
      <c r="W257" s="34">
        <f>VLOOKUP(полдник1,таб,113,FALSE)</f>
        <v>0</v>
      </c>
      <c r="X257" s="33"/>
      <c r="Y257" s="87">
        <f>VLOOKUP(полдник3,таб,113,FALSE)</f>
        <v>0</v>
      </c>
      <c r="Z257" s="34">
        <f>VLOOKUP(ужин1,таб,113,FALSE)</f>
        <v>0</v>
      </c>
      <c r="AA257" s="33">
        <f>VLOOKUP(ужин2,таб,113,FALSE)</f>
        <v>0</v>
      </c>
      <c r="AB257" s="33">
        <f>VLOOKUP(ужин3,таб,113,FALSE)</f>
        <v>0</v>
      </c>
      <c r="AC257" s="33">
        <f>VLOOKUP(ужин4,таб,113,FALSE)</f>
        <v>0</v>
      </c>
      <c r="AD257" s="33">
        <f>VLOOKUP(ужин5,таб,113,FALSE)</f>
        <v>0</v>
      </c>
      <c r="AE257" s="33">
        <f>VLOOKUP(ужин6,таб,113,FALSE)</f>
        <v>0</v>
      </c>
      <c r="AF257" s="33">
        <f>VLOOKUP(ужин7,таб,113,FALSE)</f>
        <v>0</v>
      </c>
      <c r="AG257" s="87">
        <f>VLOOKUP(ужин8,таб,113,FALSE)</f>
        <v>0</v>
      </c>
      <c r="AH257" s="253"/>
      <c r="AI257" s="139">
        <f>AK257/сред</f>
        <v>0</v>
      </c>
      <c r="AJ257" s="140"/>
      <c r="AK257" s="143">
        <f>SUM(G258:AG258)</f>
        <v>0</v>
      </c>
      <c r="AL257" s="143"/>
      <c r="AM257" s="131">
        <f>IF(AK257=0,0,Таблиця!DJ267)</f>
        <v>0</v>
      </c>
      <c r="AN257" s="129">
        <f>AK257*AM257</f>
        <v>0</v>
      </c>
      <c r="AO257" s="16"/>
      <c r="AP257" s="16"/>
      <c r="AQ257" s="102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DE257" s="54"/>
    </row>
    <row r="258" spans="1:109" ht="30.75" customHeight="1" hidden="1">
      <c r="A258" s="136"/>
      <c r="B258" s="137"/>
      <c r="C258" s="137"/>
      <c r="D258" s="137"/>
      <c r="E258" s="138"/>
      <c r="F258" s="107" t="s">
        <v>96</v>
      </c>
      <c r="G258" s="75">
        <f aca="true" t="shared" si="271" ref="G258:AG258">IF(G257=0,"",завтракл*G257/1000)</f>
      </c>
      <c r="H258" s="23">
        <f t="shared" si="271"/>
      </c>
      <c r="I258" s="23"/>
      <c r="J258" s="23">
        <f t="shared" si="271"/>
      </c>
      <c r="K258" s="23">
        <f t="shared" si="271"/>
      </c>
      <c r="L258" s="122">
        <f t="shared" si="271"/>
      </c>
      <c r="M258" s="75">
        <f t="shared" si="271"/>
      </c>
      <c r="N258" s="83">
        <f t="shared" si="271"/>
      </c>
      <c r="O258" s="75">
        <f t="shared" si="271"/>
      </c>
      <c r="P258" s="23">
        <f t="shared" si="271"/>
      </c>
      <c r="Q258" s="23">
        <f t="shared" si="271"/>
      </c>
      <c r="R258" s="23">
        <f t="shared" si="271"/>
      </c>
      <c r="S258" s="23">
        <f t="shared" si="271"/>
      </c>
      <c r="T258" s="23">
        <f t="shared" si="271"/>
      </c>
      <c r="U258" s="23">
        <f t="shared" si="271"/>
      </c>
      <c r="V258" s="83">
        <f t="shared" si="271"/>
      </c>
      <c r="W258" s="25">
        <f t="shared" si="271"/>
      </c>
      <c r="X258" s="23"/>
      <c r="Y258" s="83">
        <f t="shared" si="271"/>
      </c>
      <c r="Z258" s="25">
        <f t="shared" si="271"/>
      </c>
      <c r="AA258" s="23">
        <f t="shared" si="271"/>
      </c>
      <c r="AB258" s="23">
        <f t="shared" si="271"/>
      </c>
      <c r="AC258" s="23">
        <f t="shared" si="271"/>
      </c>
      <c r="AD258" s="23">
        <f t="shared" si="271"/>
      </c>
      <c r="AE258" s="23">
        <f t="shared" si="271"/>
      </c>
      <c r="AF258" s="23">
        <f t="shared" si="271"/>
      </c>
      <c r="AG258" s="83">
        <f t="shared" si="271"/>
      </c>
      <c r="AH258" s="254"/>
      <c r="AI258" s="139"/>
      <c r="AJ258" s="140"/>
      <c r="AK258" s="143"/>
      <c r="AL258" s="143"/>
      <c r="AM258" s="132"/>
      <c r="AN258" s="130"/>
      <c r="AO258" s="16"/>
      <c r="AP258" s="16"/>
      <c r="AQ258" s="102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DE258" s="54"/>
    </row>
    <row r="259" spans="1:109" ht="30.75" customHeight="1" hidden="1">
      <c r="A259" s="133" t="s">
        <v>470</v>
      </c>
      <c r="B259" s="134"/>
      <c r="C259" s="134"/>
      <c r="D259" s="134"/>
      <c r="E259" s="135"/>
      <c r="F259" s="106" t="s">
        <v>95</v>
      </c>
      <c r="G259" s="71">
        <f>VLOOKUP(завтрак1,таб,114,FALSE)</f>
        <v>0</v>
      </c>
      <c r="H259" s="26">
        <f>VLOOKUP(завтрак2,таб,114,FALSE)</f>
        <v>0</v>
      </c>
      <c r="I259" s="26"/>
      <c r="J259" s="26">
        <f>VLOOKUP(завтрак4,таб,114,FALSE)</f>
        <v>0</v>
      </c>
      <c r="K259" s="26">
        <f>VLOOKUP(завтрак5,таб,114,FALSE)</f>
        <v>0</v>
      </c>
      <c r="L259" s="116">
        <f>VLOOKUP(завтрак6,таб,114,FALSE)</f>
        <v>0</v>
      </c>
      <c r="M259" s="71">
        <f>VLOOKUP(завтрак7,таб,114,FALSE)</f>
        <v>0</v>
      </c>
      <c r="N259" s="81">
        <f>VLOOKUP(завтрак8,таб,114,FALSE)</f>
        <v>0</v>
      </c>
      <c r="O259" s="34">
        <f>VLOOKUP(обед1,таб,114,FALSE)</f>
        <v>0</v>
      </c>
      <c r="P259" s="33">
        <f>VLOOKUP(обед2,таб,114,FALSE)</f>
        <v>0</v>
      </c>
      <c r="Q259" s="33">
        <f>VLOOKUP(обед3,таб,114,FALSE)</f>
        <v>0</v>
      </c>
      <c r="R259" s="33">
        <f>VLOOKUP(обед4,таб,114,FALSE)</f>
        <v>0</v>
      </c>
      <c r="S259" s="33">
        <f>VLOOKUP(обед5,таб,114,FALSE)</f>
        <v>0</v>
      </c>
      <c r="T259" s="33">
        <f>VLOOKUP(обед6,таб,114,FALSE)</f>
        <v>0</v>
      </c>
      <c r="U259" s="33">
        <f>VLOOKUP(обед7,таб,114,FALSE)</f>
        <v>0</v>
      </c>
      <c r="V259" s="87">
        <f>VLOOKUP(обед8,таб,114,FALSE)</f>
        <v>0</v>
      </c>
      <c r="W259" s="34">
        <f>VLOOKUP(полдник1,таб,114,FALSE)</f>
        <v>0</v>
      </c>
      <c r="X259" s="33"/>
      <c r="Y259" s="87">
        <f>VLOOKUP(полдник3,таб,114,FALSE)</f>
        <v>0</v>
      </c>
      <c r="Z259" s="34">
        <f>VLOOKUP(ужин1,таб,114,FALSE)</f>
        <v>0</v>
      </c>
      <c r="AA259" s="33">
        <f>VLOOKUP(ужин2,таб,114,FALSE)</f>
        <v>0</v>
      </c>
      <c r="AB259" s="33">
        <f>VLOOKUP(ужин3,таб,114,FALSE)</f>
        <v>0</v>
      </c>
      <c r="AC259" s="33">
        <f>VLOOKUP(ужин4,таб,114,FALSE)</f>
        <v>0</v>
      </c>
      <c r="AD259" s="33">
        <f>VLOOKUP(ужин5,таб,114,FALSE)</f>
        <v>0</v>
      </c>
      <c r="AE259" s="33">
        <f>VLOOKUP(ужин6,таб,114,FALSE)</f>
        <v>0</v>
      </c>
      <c r="AF259" s="33">
        <f>VLOOKUP(ужин7,таб,114,FALSE)</f>
        <v>0</v>
      </c>
      <c r="AG259" s="87">
        <f>VLOOKUP(ужин8,таб,114,FALSE)</f>
        <v>0</v>
      </c>
      <c r="AH259" s="253"/>
      <c r="AI259" s="139">
        <f>AK259/сред</f>
        <v>0</v>
      </c>
      <c r="AJ259" s="140"/>
      <c r="AK259" s="143">
        <f>SUM(G260:AG260)</f>
        <v>0</v>
      </c>
      <c r="AL259" s="143"/>
      <c r="AM259" s="131">
        <f>IF(AK259=0,0,Таблиця!DK267)</f>
        <v>0</v>
      </c>
      <c r="AN259" s="129">
        <f>AK259*AM259</f>
        <v>0</v>
      </c>
      <c r="AO259" s="16"/>
      <c r="AP259" s="16"/>
      <c r="AQ259" s="102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DE259" s="54"/>
    </row>
    <row r="260" spans="1:109" ht="30.75" customHeight="1" hidden="1">
      <c r="A260" s="136"/>
      <c r="B260" s="137"/>
      <c r="C260" s="137"/>
      <c r="D260" s="137"/>
      <c r="E260" s="138"/>
      <c r="F260" s="107" t="s">
        <v>96</v>
      </c>
      <c r="G260" s="75">
        <f aca="true" t="shared" si="272" ref="G260:AG260">IF(G259=0,"",завтракл*G259/1000)</f>
      </c>
      <c r="H260" s="23">
        <f t="shared" si="272"/>
      </c>
      <c r="I260" s="23"/>
      <c r="J260" s="23">
        <f t="shared" si="272"/>
      </c>
      <c r="K260" s="23">
        <f t="shared" si="272"/>
      </c>
      <c r="L260" s="122">
        <f t="shared" si="272"/>
      </c>
      <c r="M260" s="75">
        <f t="shared" si="272"/>
      </c>
      <c r="N260" s="83">
        <f t="shared" si="272"/>
      </c>
      <c r="O260" s="75">
        <f t="shared" si="272"/>
      </c>
      <c r="P260" s="23">
        <f t="shared" si="272"/>
      </c>
      <c r="Q260" s="23">
        <f t="shared" si="272"/>
      </c>
      <c r="R260" s="23">
        <f t="shared" si="272"/>
      </c>
      <c r="S260" s="23">
        <f t="shared" si="272"/>
      </c>
      <c r="T260" s="23">
        <f t="shared" si="272"/>
      </c>
      <c r="U260" s="23">
        <f t="shared" si="272"/>
      </c>
      <c r="V260" s="83">
        <f t="shared" si="272"/>
      </c>
      <c r="W260" s="25">
        <f t="shared" si="272"/>
      </c>
      <c r="X260" s="23"/>
      <c r="Y260" s="83">
        <f t="shared" si="272"/>
      </c>
      <c r="Z260" s="25">
        <f t="shared" si="272"/>
      </c>
      <c r="AA260" s="23">
        <f t="shared" si="272"/>
      </c>
      <c r="AB260" s="23">
        <f t="shared" si="272"/>
      </c>
      <c r="AC260" s="23">
        <f t="shared" si="272"/>
      </c>
      <c r="AD260" s="23">
        <f t="shared" si="272"/>
      </c>
      <c r="AE260" s="23">
        <f t="shared" si="272"/>
      </c>
      <c r="AF260" s="23">
        <f t="shared" si="272"/>
      </c>
      <c r="AG260" s="83">
        <f t="shared" si="272"/>
      </c>
      <c r="AH260" s="254"/>
      <c r="AI260" s="139"/>
      <c r="AJ260" s="140"/>
      <c r="AK260" s="143"/>
      <c r="AL260" s="143"/>
      <c r="AM260" s="132"/>
      <c r="AN260" s="130"/>
      <c r="AO260" s="16"/>
      <c r="AP260" s="16"/>
      <c r="AQ260" s="102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DE260" s="54"/>
    </row>
    <row r="261" spans="1:109" ht="30.75" customHeight="1" hidden="1">
      <c r="A261" s="133" t="s">
        <v>471</v>
      </c>
      <c r="B261" s="134"/>
      <c r="C261" s="134"/>
      <c r="D261" s="134"/>
      <c r="E261" s="135"/>
      <c r="F261" s="106" t="s">
        <v>95</v>
      </c>
      <c r="G261" s="71">
        <f>VLOOKUP(завтрак1,таб,115,FALSE)</f>
        <v>0</v>
      </c>
      <c r="H261" s="26">
        <f>VLOOKUP(завтрак2,таб,115,FALSE)</f>
        <v>0</v>
      </c>
      <c r="I261" s="26"/>
      <c r="J261" s="26">
        <f>VLOOKUP(завтрак4,таб,115,FALSE)</f>
        <v>0</v>
      </c>
      <c r="K261" s="26">
        <f>VLOOKUP(завтрак5,таб,115,FALSE)</f>
        <v>0</v>
      </c>
      <c r="L261" s="116">
        <f>VLOOKUP(завтрак6,таб,115,FALSE)</f>
        <v>0</v>
      </c>
      <c r="M261" s="71">
        <f>VLOOKUP(завтрак7,таб,115,FALSE)</f>
        <v>0</v>
      </c>
      <c r="N261" s="81">
        <f>VLOOKUP(завтрак8,таб,115,FALSE)</f>
        <v>0</v>
      </c>
      <c r="O261" s="34">
        <f>VLOOKUP(обед1,таб,115,FALSE)</f>
        <v>0</v>
      </c>
      <c r="P261" s="33">
        <f>VLOOKUP(обед2,таб,115,FALSE)</f>
        <v>0</v>
      </c>
      <c r="Q261" s="33">
        <f>VLOOKUP(обед3,таб,115,FALSE)</f>
        <v>0</v>
      </c>
      <c r="R261" s="33">
        <f>VLOOKUP(обед4,таб,115,FALSE)</f>
        <v>0</v>
      </c>
      <c r="S261" s="33">
        <f>VLOOKUP(обед5,таб,115,FALSE)</f>
        <v>0</v>
      </c>
      <c r="T261" s="33">
        <f>VLOOKUP(обед6,таб,115,FALSE)</f>
        <v>0</v>
      </c>
      <c r="U261" s="33">
        <f>VLOOKUP(обед7,таб,115,FALSE)</f>
        <v>0</v>
      </c>
      <c r="V261" s="87">
        <f>VLOOKUP(обед8,таб,115,FALSE)</f>
        <v>0</v>
      </c>
      <c r="W261" s="34">
        <f>VLOOKUP(полдник1,таб,115,FALSE)</f>
        <v>0</v>
      </c>
      <c r="X261" s="33"/>
      <c r="Y261" s="87">
        <f>VLOOKUP(полдник3,таб,115,FALSE)</f>
        <v>0</v>
      </c>
      <c r="Z261" s="34">
        <f>VLOOKUP(ужин1,таб,115,FALSE)</f>
        <v>0</v>
      </c>
      <c r="AA261" s="33">
        <f>VLOOKUP(ужин2,таб,115,FALSE)</f>
        <v>0</v>
      </c>
      <c r="AB261" s="33">
        <f>VLOOKUP(ужин3,таб,115,FALSE)</f>
        <v>0</v>
      </c>
      <c r="AC261" s="33">
        <f>VLOOKUP(ужин4,таб,115,FALSE)</f>
        <v>0</v>
      </c>
      <c r="AD261" s="33">
        <f>VLOOKUP(ужин5,таб,115,FALSE)</f>
        <v>0</v>
      </c>
      <c r="AE261" s="33">
        <f>VLOOKUP(ужин6,таб,115,FALSE)</f>
        <v>0</v>
      </c>
      <c r="AF261" s="33">
        <f>VLOOKUP(ужин7,таб,115,FALSE)</f>
        <v>0</v>
      </c>
      <c r="AG261" s="87">
        <f>VLOOKUP(ужин8,таб,115,FALSE)</f>
        <v>0</v>
      </c>
      <c r="AH261" s="253"/>
      <c r="AI261" s="139">
        <f>AK261/сред</f>
        <v>0</v>
      </c>
      <c r="AJ261" s="140"/>
      <c r="AK261" s="143">
        <f>SUM(G262:AG262)</f>
        <v>0</v>
      </c>
      <c r="AL261" s="143"/>
      <c r="AM261" s="131">
        <f>IF(AK261=0,0,Таблиця!DL267)</f>
        <v>0</v>
      </c>
      <c r="AN261" s="129">
        <f>AK261*AM261</f>
        <v>0</v>
      </c>
      <c r="AO261" s="16"/>
      <c r="AP261" s="16"/>
      <c r="AQ261" s="102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DE261" s="54"/>
    </row>
    <row r="262" spans="1:109" ht="30.75" customHeight="1" hidden="1">
      <c r="A262" s="136"/>
      <c r="B262" s="137"/>
      <c r="C262" s="137"/>
      <c r="D262" s="137"/>
      <c r="E262" s="138"/>
      <c r="F262" s="107" t="s">
        <v>96</v>
      </c>
      <c r="G262" s="75">
        <f aca="true" t="shared" si="273" ref="G262:AG262">IF(G261=0,"",завтракл*G261/1000)</f>
      </c>
      <c r="H262" s="23">
        <f t="shared" si="273"/>
      </c>
      <c r="I262" s="23"/>
      <c r="J262" s="23">
        <f t="shared" si="273"/>
      </c>
      <c r="K262" s="23">
        <f t="shared" si="273"/>
      </c>
      <c r="L262" s="122">
        <f t="shared" si="273"/>
      </c>
      <c r="M262" s="75">
        <f t="shared" si="273"/>
      </c>
      <c r="N262" s="83">
        <f t="shared" si="273"/>
      </c>
      <c r="O262" s="75">
        <f t="shared" si="273"/>
      </c>
      <c r="P262" s="23">
        <f t="shared" si="273"/>
      </c>
      <c r="Q262" s="23">
        <f t="shared" si="273"/>
      </c>
      <c r="R262" s="23">
        <f t="shared" si="273"/>
      </c>
      <c r="S262" s="23">
        <f t="shared" si="273"/>
      </c>
      <c r="T262" s="23">
        <f t="shared" si="273"/>
      </c>
      <c r="U262" s="23">
        <f t="shared" si="273"/>
      </c>
      <c r="V262" s="83">
        <f t="shared" si="273"/>
      </c>
      <c r="W262" s="25">
        <f t="shared" si="273"/>
      </c>
      <c r="X262" s="23"/>
      <c r="Y262" s="83">
        <f t="shared" si="273"/>
      </c>
      <c r="Z262" s="25">
        <f t="shared" si="273"/>
      </c>
      <c r="AA262" s="23">
        <f t="shared" si="273"/>
      </c>
      <c r="AB262" s="23">
        <f t="shared" si="273"/>
      </c>
      <c r="AC262" s="23">
        <f t="shared" si="273"/>
      </c>
      <c r="AD262" s="23">
        <f t="shared" si="273"/>
      </c>
      <c r="AE262" s="23">
        <f t="shared" si="273"/>
      </c>
      <c r="AF262" s="23">
        <f t="shared" si="273"/>
      </c>
      <c r="AG262" s="83">
        <f t="shared" si="273"/>
      </c>
      <c r="AH262" s="254"/>
      <c r="AI262" s="139"/>
      <c r="AJ262" s="140"/>
      <c r="AK262" s="143"/>
      <c r="AL262" s="143"/>
      <c r="AM262" s="132"/>
      <c r="AN262" s="130"/>
      <c r="AO262" s="16"/>
      <c r="AP262" s="16"/>
      <c r="AQ262" s="102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DE262" s="54"/>
    </row>
    <row r="263" spans="1:109" ht="30.75" customHeight="1" hidden="1">
      <c r="A263" s="133" t="s">
        <v>472</v>
      </c>
      <c r="B263" s="134"/>
      <c r="C263" s="134"/>
      <c r="D263" s="134"/>
      <c r="E263" s="135"/>
      <c r="F263" s="106" t="s">
        <v>95</v>
      </c>
      <c r="G263" s="71">
        <f>VLOOKUP(завтрак1,таб,116,FALSE)</f>
        <v>0</v>
      </c>
      <c r="H263" s="26">
        <f>VLOOKUP(завтрак2,таб,116,FALSE)</f>
        <v>0</v>
      </c>
      <c r="I263" s="26"/>
      <c r="J263" s="26">
        <f>VLOOKUP(завтрак4,таб,116,FALSE)</f>
        <v>0</v>
      </c>
      <c r="K263" s="26">
        <f>VLOOKUP(завтрак5,таб,116,FALSE)</f>
        <v>0</v>
      </c>
      <c r="L263" s="116">
        <f>VLOOKUP(завтрак6,таб,116,FALSE)</f>
        <v>0</v>
      </c>
      <c r="M263" s="71">
        <f>VLOOKUP(завтрак7,таб,116,FALSE)</f>
        <v>0</v>
      </c>
      <c r="N263" s="81">
        <f>VLOOKUP(завтрак8,таб,116,FALSE)</f>
        <v>0</v>
      </c>
      <c r="O263" s="34">
        <f>VLOOKUP(обед1,таб,116,FALSE)</f>
        <v>0</v>
      </c>
      <c r="P263" s="33">
        <f>VLOOKUP(обед2,таб,116,FALSE)</f>
        <v>0</v>
      </c>
      <c r="Q263" s="33">
        <f>VLOOKUP(обед3,таб,116,FALSE)</f>
        <v>0</v>
      </c>
      <c r="R263" s="33">
        <f>VLOOKUP(обед4,таб,116,FALSE)</f>
        <v>0</v>
      </c>
      <c r="S263" s="33">
        <f>VLOOKUP(обед5,таб,116,FALSE)</f>
        <v>0</v>
      </c>
      <c r="T263" s="33">
        <f>VLOOKUP(обед6,таб,116,FALSE)</f>
        <v>0</v>
      </c>
      <c r="U263" s="33">
        <f>VLOOKUP(обед7,таб,116,FALSE)</f>
        <v>0</v>
      </c>
      <c r="V263" s="87">
        <f>VLOOKUP(обед8,таб,116,FALSE)</f>
        <v>0</v>
      </c>
      <c r="W263" s="34">
        <f>VLOOKUP(полдник1,таб,116,FALSE)</f>
        <v>0</v>
      </c>
      <c r="X263" s="33"/>
      <c r="Y263" s="87">
        <f>VLOOKUP(полдник3,таб,116,FALSE)</f>
        <v>0</v>
      </c>
      <c r="Z263" s="34">
        <f>VLOOKUP(ужин1,таб,116,FALSE)</f>
        <v>0</v>
      </c>
      <c r="AA263" s="33">
        <f>VLOOKUP(ужин2,таб,116,FALSE)</f>
        <v>0</v>
      </c>
      <c r="AB263" s="33">
        <f>VLOOKUP(ужин3,таб,116,FALSE)</f>
        <v>0</v>
      </c>
      <c r="AC263" s="33">
        <f>VLOOKUP(ужин4,таб,116,FALSE)</f>
        <v>0</v>
      </c>
      <c r="AD263" s="33">
        <f>VLOOKUP(ужин5,таб,116,FALSE)</f>
        <v>0</v>
      </c>
      <c r="AE263" s="33">
        <f>VLOOKUP(ужин6,таб,116,FALSE)</f>
        <v>0</v>
      </c>
      <c r="AF263" s="33">
        <f>VLOOKUP(ужин7,таб,116,FALSE)</f>
        <v>0</v>
      </c>
      <c r="AG263" s="87">
        <f>VLOOKUP(ужин8,таб,116,FALSE)</f>
        <v>0</v>
      </c>
      <c r="AH263" s="253"/>
      <c r="AI263" s="139">
        <f>AK263/сред</f>
        <v>0</v>
      </c>
      <c r="AJ263" s="140"/>
      <c r="AK263" s="143">
        <f>SUM(G264:AG264)</f>
        <v>0</v>
      </c>
      <c r="AL263" s="143"/>
      <c r="AM263" s="131">
        <f>IF(AK263=0,0,Таблиця!DM267)</f>
        <v>0</v>
      </c>
      <c r="AN263" s="129">
        <f>AK263*AM263</f>
        <v>0</v>
      </c>
      <c r="AO263" s="16"/>
      <c r="AP263" s="16"/>
      <c r="AQ263" s="102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DE263" s="54"/>
    </row>
    <row r="264" spans="1:109" ht="30.75" customHeight="1" hidden="1">
      <c r="A264" s="136"/>
      <c r="B264" s="137"/>
      <c r="C264" s="137"/>
      <c r="D264" s="137"/>
      <c r="E264" s="138"/>
      <c r="F264" s="107" t="s">
        <v>96</v>
      </c>
      <c r="G264" s="75">
        <f aca="true" t="shared" si="274" ref="G264:AG264">IF(G263=0,"",завтракл*G263/1000)</f>
      </c>
      <c r="H264" s="23">
        <f t="shared" si="274"/>
      </c>
      <c r="I264" s="23"/>
      <c r="J264" s="23">
        <f t="shared" si="274"/>
      </c>
      <c r="K264" s="23">
        <f t="shared" si="274"/>
      </c>
      <c r="L264" s="122">
        <f t="shared" si="274"/>
      </c>
      <c r="M264" s="75">
        <f t="shared" si="274"/>
      </c>
      <c r="N264" s="83">
        <f t="shared" si="274"/>
      </c>
      <c r="O264" s="75">
        <f t="shared" si="274"/>
      </c>
      <c r="P264" s="23">
        <f t="shared" si="274"/>
      </c>
      <c r="Q264" s="23">
        <f t="shared" si="274"/>
      </c>
      <c r="R264" s="23">
        <f t="shared" si="274"/>
      </c>
      <c r="S264" s="23">
        <f t="shared" si="274"/>
      </c>
      <c r="T264" s="23">
        <f t="shared" si="274"/>
      </c>
      <c r="U264" s="23">
        <f t="shared" si="274"/>
      </c>
      <c r="V264" s="83">
        <f t="shared" si="274"/>
      </c>
      <c r="W264" s="25">
        <f t="shared" si="274"/>
      </c>
      <c r="X264" s="23"/>
      <c r="Y264" s="83">
        <f t="shared" si="274"/>
      </c>
      <c r="Z264" s="25">
        <f t="shared" si="274"/>
      </c>
      <c r="AA264" s="23">
        <f t="shared" si="274"/>
      </c>
      <c r="AB264" s="23">
        <f t="shared" si="274"/>
      </c>
      <c r="AC264" s="23">
        <f t="shared" si="274"/>
      </c>
      <c r="AD264" s="23">
        <f t="shared" si="274"/>
      </c>
      <c r="AE264" s="23">
        <f t="shared" si="274"/>
      </c>
      <c r="AF264" s="23">
        <f t="shared" si="274"/>
      </c>
      <c r="AG264" s="83">
        <f t="shared" si="274"/>
      </c>
      <c r="AH264" s="254"/>
      <c r="AI264" s="139"/>
      <c r="AJ264" s="140"/>
      <c r="AK264" s="143"/>
      <c r="AL264" s="143"/>
      <c r="AM264" s="132"/>
      <c r="AN264" s="130"/>
      <c r="AO264" s="16"/>
      <c r="AP264" s="16"/>
      <c r="AQ264" s="102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DE264" s="54"/>
    </row>
    <row r="265" spans="1:109" ht="30.75" customHeight="1" hidden="1">
      <c r="A265" s="133" t="s">
        <v>473</v>
      </c>
      <c r="B265" s="134"/>
      <c r="C265" s="134"/>
      <c r="D265" s="134"/>
      <c r="E265" s="135"/>
      <c r="F265" s="106" t="s">
        <v>95</v>
      </c>
      <c r="G265" s="71">
        <f>VLOOKUP(завтрак1,таб,117,FALSE)</f>
        <v>0</v>
      </c>
      <c r="H265" s="26">
        <f>VLOOKUP(завтрак2,таб,117,FALSE)</f>
        <v>0</v>
      </c>
      <c r="I265" s="26"/>
      <c r="J265" s="26">
        <f>VLOOKUP(завтрак4,таб,117,FALSE)</f>
        <v>0</v>
      </c>
      <c r="K265" s="26">
        <f>VLOOKUP(завтрак5,таб,117,FALSE)</f>
        <v>0</v>
      </c>
      <c r="L265" s="116">
        <f>VLOOKUP(завтрак6,таб,117,FALSE)</f>
        <v>0</v>
      </c>
      <c r="M265" s="71">
        <f>VLOOKUP(завтрак7,таб,117,FALSE)</f>
        <v>0</v>
      </c>
      <c r="N265" s="81">
        <f>VLOOKUP(завтрак8,таб,117,FALSE)</f>
        <v>0</v>
      </c>
      <c r="O265" s="34">
        <f>VLOOKUP(обед1,таб,117,FALSE)</f>
        <v>0</v>
      </c>
      <c r="P265" s="33">
        <f>VLOOKUP(обед2,таб,117,FALSE)</f>
        <v>0</v>
      </c>
      <c r="Q265" s="33">
        <f>VLOOKUP(обед3,таб,117,FALSE)</f>
        <v>0</v>
      </c>
      <c r="R265" s="33">
        <f>VLOOKUP(обед4,таб,117,FALSE)</f>
        <v>0</v>
      </c>
      <c r="S265" s="33">
        <f>VLOOKUP(обед5,таб,117,FALSE)</f>
        <v>0</v>
      </c>
      <c r="T265" s="33">
        <f>VLOOKUP(обед6,таб,117,FALSE)</f>
        <v>0</v>
      </c>
      <c r="U265" s="33">
        <f>VLOOKUP(обед7,таб,117,FALSE)</f>
        <v>0</v>
      </c>
      <c r="V265" s="87">
        <f>VLOOKUP(обед8,таб,117,FALSE)</f>
        <v>0</v>
      </c>
      <c r="W265" s="34">
        <f>VLOOKUP(полдник1,таб,117,FALSE)</f>
        <v>0</v>
      </c>
      <c r="X265" s="33"/>
      <c r="Y265" s="87">
        <f>VLOOKUP(полдник3,таб,117,FALSE)</f>
        <v>0</v>
      </c>
      <c r="Z265" s="34">
        <f>VLOOKUP(ужин1,таб,117,FALSE)</f>
        <v>0</v>
      </c>
      <c r="AA265" s="33">
        <f>VLOOKUP(ужин2,таб,117,FALSE)</f>
        <v>0</v>
      </c>
      <c r="AB265" s="33">
        <f>VLOOKUP(ужин3,таб,117,FALSE)</f>
        <v>0</v>
      </c>
      <c r="AC265" s="33">
        <f>VLOOKUP(ужин4,таб,117,FALSE)</f>
        <v>0</v>
      </c>
      <c r="AD265" s="33">
        <f>VLOOKUP(ужин5,таб,117,FALSE)</f>
        <v>0</v>
      </c>
      <c r="AE265" s="33">
        <f>VLOOKUP(ужин6,таб,117,FALSE)</f>
        <v>0</v>
      </c>
      <c r="AF265" s="33">
        <f>VLOOKUP(ужин7,таб,117,FALSE)</f>
        <v>0</v>
      </c>
      <c r="AG265" s="87">
        <f>VLOOKUP(ужин8,таб,117,FALSE)</f>
        <v>0</v>
      </c>
      <c r="AH265" s="253"/>
      <c r="AI265" s="139">
        <f>AK265/сред</f>
        <v>0</v>
      </c>
      <c r="AJ265" s="140"/>
      <c r="AK265" s="143">
        <f>SUM(G266:AG266)</f>
        <v>0</v>
      </c>
      <c r="AL265" s="143"/>
      <c r="AM265" s="131">
        <f>IF(AK265=0,0,Таблиця!DN267)</f>
        <v>0</v>
      </c>
      <c r="AN265" s="129">
        <f>AK265*AM265</f>
        <v>0</v>
      </c>
      <c r="AO265" s="16"/>
      <c r="AP265" s="16"/>
      <c r="AQ265" s="102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DE265" s="54"/>
    </row>
    <row r="266" spans="1:109" ht="30.75" customHeight="1" hidden="1">
      <c r="A266" s="136"/>
      <c r="B266" s="137"/>
      <c r="C266" s="137"/>
      <c r="D266" s="137"/>
      <c r="E266" s="138"/>
      <c r="F266" s="107" t="s">
        <v>96</v>
      </c>
      <c r="G266" s="75">
        <f aca="true" t="shared" si="275" ref="G266:AG266">IF(G265=0,"",завтракл*G265/1000)</f>
      </c>
      <c r="H266" s="23">
        <f t="shared" si="275"/>
      </c>
      <c r="I266" s="23"/>
      <c r="J266" s="23">
        <f t="shared" si="275"/>
      </c>
      <c r="K266" s="23">
        <f t="shared" si="275"/>
      </c>
      <c r="L266" s="122">
        <f t="shared" si="275"/>
      </c>
      <c r="M266" s="75">
        <f t="shared" si="275"/>
      </c>
      <c r="N266" s="83">
        <f t="shared" si="275"/>
      </c>
      <c r="O266" s="75">
        <f t="shared" si="275"/>
      </c>
      <c r="P266" s="23">
        <f t="shared" si="275"/>
      </c>
      <c r="Q266" s="23">
        <f t="shared" si="275"/>
      </c>
      <c r="R266" s="23">
        <f t="shared" si="275"/>
      </c>
      <c r="S266" s="23">
        <f t="shared" si="275"/>
      </c>
      <c r="T266" s="23">
        <f t="shared" si="275"/>
      </c>
      <c r="U266" s="23">
        <f t="shared" si="275"/>
      </c>
      <c r="V266" s="83">
        <f t="shared" si="275"/>
      </c>
      <c r="W266" s="25">
        <f t="shared" si="275"/>
      </c>
      <c r="X266" s="23"/>
      <c r="Y266" s="83">
        <f t="shared" si="275"/>
      </c>
      <c r="Z266" s="25">
        <f t="shared" si="275"/>
      </c>
      <c r="AA266" s="23">
        <f t="shared" si="275"/>
      </c>
      <c r="AB266" s="23">
        <f t="shared" si="275"/>
      </c>
      <c r="AC266" s="23">
        <f t="shared" si="275"/>
      </c>
      <c r="AD266" s="23">
        <f t="shared" si="275"/>
      </c>
      <c r="AE266" s="23">
        <f t="shared" si="275"/>
      </c>
      <c r="AF266" s="23">
        <f t="shared" si="275"/>
      </c>
      <c r="AG266" s="83">
        <f t="shared" si="275"/>
      </c>
      <c r="AH266" s="254"/>
      <c r="AI266" s="139"/>
      <c r="AJ266" s="140"/>
      <c r="AK266" s="143"/>
      <c r="AL266" s="143"/>
      <c r="AM266" s="132"/>
      <c r="AN266" s="130"/>
      <c r="AO266" s="16"/>
      <c r="AP266" s="16"/>
      <c r="AQ266" s="102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DE266" s="54"/>
    </row>
    <row r="267" spans="1:109" ht="30.75" customHeight="1" hidden="1">
      <c r="A267" s="133" t="s">
        <v>474</v>
      </c>
      <c r="B267" s="134"/>
      <c r="C267" s="134"/>
      <c r="D267" s="134"/>
      <c r="E267" s="135"/>
      <c r="F267" s="106" t="s">
        <v>95</v>
      </c>
      <c r="G267" s="71">
        <f>VLOOKUP(завтрак1,таб,118,FALSE)</f>
        <v>0</v>
      </c>
      <c r="H267" s="26">
        <f>VLOOKUP(завтрак2,таб,118,FALSE)</f>
        <v>0</v>
      </c>
      <c r="I267" s="26"/>
      <c r="J267" s="26">
        <f>VLOOKUP(завтрак4,таб,118,FALSE)</f>
        <v>0</v>
      </c>
      <c r="K267" s="26">
        <f>VLOOKUP(завтрак5,таб,118,FALSE)</f>
        <v>0</v>
      </c>
      <c r="L267" s="116">
        <f>VLOOKUP(завтрак6,таб,118,FALSE)</f>
        <v>0</v>
      </c>
      <c r="M267" s="71">
        <f>VLOOKUP(завтрак7,таб,118,FALSE)</f>
        <v>0</v>
      </c>
      <c r="N267" s="81">
        <f>VLOOKUP(завтрак8,таб,118,FALSE)</f>
        <v>0</v>
      </c>
      <c r="O267" s="34">
        <f>VLOOKUP(обед1,таб,118,FALSE)</f>
        <v>0</v>
      </c>
      <c r="P267" s="33">
        <f>VLOOKUP(обед2,таб,118,FALSE)</f>
        <v>0</v>
      </c>
      <c r="Q267" s="33">
        <f>VLOOKUP(обед3,таб,118,FALSE)</f>
        <v>0</v>
      </c>
      <c r="R267" s="33">
        <f>VLOOKUP(обед4,таб,118,FALSE)</f>
        <v>0</v>
      </c>
      <c r="S267" s="33">
        <f>VLOOKUP(обед5,таб,118,FALSE)</f>
        <v>0</v>
      </c>
      <c r="T267" s="33">
        <f>VLOOKUP(обед6,таб,118,FALSE)</f>
        <v>0</v>
      </c>
      <c r="U267" s="33">
        <f>VLOOKUP(обед7,таб,118,FALSE)</f>
        <v>0</v>
      </c>
      <c r="V267" s="87">
        <f>VLOOKUP(обед8,таб,118,FALSE)</f>
        <v>0</v>
      </c>
      <c r="W267" s="34">
        <f>VLOOKUP(полдник1,таб,118,FALSE)</f>
        <v>0</v>
      </c>
      <c r="X267" s="33"/>
      <c r="Y267" s="87">
        <f>VLOOKUP(полдник3,таб,118,FALSE)</f>
        <v>0</v>
      </c>
      <c r="Z267" s="34">
        <f>VLOOKUP(ужин1,таб,118,FALSE)</f>
        <v>0</v>
      </c>
      <c r="AA267" s="33">
        <f>VLOOKUP(ужин2,таб,118,FALSE)</f>
        <v>0</v>
      </c>
      <c r="AB267" s="33">
        <f>VLOOKUP(ужин3,таб,118,FALSE)</f>
        <v>0</v>
      </c>
      <c r="AC267" s="33">
        <f>VLOOKUP(ужин4,таб,118,FALSE)</f>
        <v>0</v>
      </c>
      <c r="AD267" s="33">
        <f>VLOOKUP(ужин5,таб,118,FALSE)</f>
        <v>0</v>
      </c>
      <c r="AE267" s="33">
        <f>VLOOKUP(ужин6,таб,118,FALSE)</f>
        <v>0</v>
      </c>
      <c r="AF267" s="33">
        <f>VLOOKUP(ужин7,таб,118,FALSE)</f>
        <v>0</v>
      </c>
      <c r="AG267" s="87">
        <f>VLOOKUP(ужин8,таб,118,FALSE)</f>
        <v>0</v>
      </c>
      <c r="AH267" s="253"/>
      <c r="AI267" s="139">
        <f>AK267/сред</f>
        <v>0</v>
      </c>
      <c r="AJ267" s="140"/>
      <c r="AK267" s="143">
        <f>SUM(G268:AG268)</f>
        <v>0</v>
      </c>
      <c r="AL267" s="143"/>
      <c r="AM267" s="131">
        <f>IF(AK267=0,0,Таблиця!DO267)</f>
        <v>0</v>
      </c>
      <c r="AN267" s="129">
        <f>AK267*AM267</f>
        <v>0</v>
      </c>
      <c r="AO267" s="16"/>
      <c r="AP267" s="16"/>
      <c r="AQ267" s="102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DE267" s="54"/>
    </row>
    <row r="268" spans="1:109" ht="30.75" customHeight="1" hidden="1">
      <c r="A268" s="136"/>
      <c r="B268" s="137"/>
      <c r="C268" s="137"/>
      <c r="D268" s="137"/>
      <c r="E268" s="138"/>
      <c r="F268" s="107" t="s">
        <v>96</v>
      </c>
      <c r="G268" s="75">
        <f aca="true" t="shared" si="276" ref="G268:AG268">IF(G267=0,"",завтракл*G267/1000)</f>
      </c>
      <c r="H268" s="23">
        <f t="shared" si="276"/>
      </c>
      <c r="I268" s="23"/>
      <c r="J268" s="23">
        <f t="shared" si="276"/>
      </c>
      <c r="K268" s="23">
        <f t="shared" si="276"/>
      </c>
      <c r="L268" s="122">
        <f t="shared" si="276"/>
      </c>
      <c r="M268" s="75">
        <f t="shared" si="276"/>
      </c>
      <c r="N268" s="83">
        <f t="shared" si="276"/>
      </c>
      <c r="O268" s="75">
        <f t="shared" si="276"/>
      </c>
      <c r="P268" s="23">
        <f t="shared" si="276"/>
      </c>
      <c r="Q268" s="23">
        <f t="shared" si="276"/>
      </c>
      <c r="R268" s="23">
        <f t="shared" si="276"/>
      </c>
      <c r="S268" s="23">
        <f t="shared" si="276"/>
      </c>
      <c r="T268" s="23">
        <f t="shared" si="276"/>
      </c>
      <c r="U268" s="23">
        <f t="shared" si="276"/>
      </c>
      <c r="V268" s="83">
        <f t="shared" si="276"/>
      </c>
      <c r="W268" s="25">
        <f t="shared" si="276"/>
      </c>
      <c r="X268" s="23"/>
      <c r="Y268" s="83">
        <f t="shared" si="276"/>
      </c>
      <c r="Z268" s="25">
        <f t="shared" si="276"/>
      </c>
      <c r="AA268" s="23">
        <f t="shared" si="276"/>
      </c>
      <c r="AB268" s="23">
        <f t="shared" si="276"/>
      </c>
      <c r="AC268" s="23">
        <f t="shared" si="276"/>
      </c>
      <c r="AD268" s="23">
        <f t="shared" si="276"/>
      </c>
      <c r="AE268" s="23">
        <f t="shared" si="276"/>
      </c>
      <c r="AF268" s="23">
        <f t="shared" si="276"/>
      </c>
      <c r="AG268" s="83">
        <f t="shared" si="276"/>
      </c>
      <c r="AH268" s="254"/>
      <c r="AI268" s="139"/>
      <c r="AJ268" s="140"/>
      <c r="AK268" s="143"/>
      <c r="AL268" s="143"/>
      <c r="AM268" s="132"/>
      <c r="AN268" s="130"/>
      <c r="AO268" s="16"/>
      <c r="AP268" s="16"/>
      <c r="AQ268" s="102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DE268" s="54"/>
    </row>
    <row r="269" spans="1:66" ht="30.75" customHeight="1" hidden="1">
      <c r="A269" s="133" t="s">
        <v>475</v>
      </c>
      <c r="B269" s="134"/>
      <c r="C269" s="134"/>
      <c r="D269" s="134"/>
      <c r="E269" s="135"/>
      <c r="F269" s="106" t="s">
        <v>95</v>
      </c>
      <c r="G269" s="71">
        <f>VLOOKUP(завтрак1,таб,119,FALSE)</f>
        <v>0</v>
      </c>
      <c r="H269" s="26">
        <f>VLOOKUP(завтрак2,таб,119,FALSE)</f>
        <v>0</v>
      </c>
      <c r="I269" s="26"/>
      <c r="J269" s="26">
        <f>VLOOKUP(завтрак4,таб,119,FALSE)</f>
        <v>0</v>
      </c>
      <c r="K269" s="26">
        <f>VLOOKUP(завтрак5,таб,119,FALSE)</f>
        <v>0</v>
      </c>
      <c r="L269" s="116">
        <f>VLOOKUP(завтрак6,таб,119,FALSE)</f>
        <v>0</v>
      </c>
      <c r="M269" s="71">
        <f>VLOOKUP(завтрак7,таб,119,FALSE)</f>
        <v>0</v>
      </c>
      <c r="N269" s="81">
        <f>VLOOKUP(завтрак8,таб,119,FALSE)</f>
        <v>0</v>
      </c>
      <c r="O269" s="34">
        <f>VLOOKUP(обед1,таб,119,FALSE)</f>
        <v>0</v>
      </c>
      <c r="P269" s="33">
        <f>VLOOKUP(обед2,таб,119,FALSE)</f>
        <v>0</v>
      </c>
      <c r="Q269" s="33">
        <f>VLOOKUP(обед3,таб,119,FALSE)</f>
        <v>0</v>
      </c>
      <c r="R269" s="33">
        <f>VLOOKUP(обед4,таб,119,FALSE)</f>
        <v>0</v>
      </c>
      <c r="S269" s="33">
        <f>VLOOKUP(обед5,таб,119,FALSE)</f>
        <v>0</v>
      </c>
      <c r="T269" s="33">
        <f>VLOOKUP(обед6,таб,119,FALSE)</f>
        <v>0</v>
      </c>
      <c r="U269" s="33">
        <f>VLOOKUP(обед7,таб,119,FALSE)</f>
        <v>0</v>
      </c>
      <c r="V269" s="87">
        <f>VLOOKUP(обед8,таб,119,FALSE)</f>
        <v>0</v>
      </c>
      <c r="W269" s="34">
        <f>VLOOKUP(полдник1,таб,119,FALSE)</f>
        <v>0</v>
      </c>
      <c r="X269" s="33"/>
      <c r="Y269" s="87">
        <f>VLOOKUP(полдник3,таб,119,FALSE)</f>
        <v>0</v>
      </c>
      <c r="Z269" s="34">
        <f>VLOOKUP(ужин1,таб,119,FALSE)</f>
        <v>0</v>
      </c>
      <c r="AA269" s="33">
        <f>VLOOKUP(ужин2,таб,119,FALSE)</f>
        <v>0</v>
      </c>
      <c r="AB269" s="33">
        <f>VLOOKUP(ужин3,таб,119,FALSE)</f>
        <v>0</v>
      </c>
      <c r="AC269" s="33">
        <f>VLOOKUP(ужин4,таб,119,FALSE)</f>
        <v>0</v>
      </c>
      <c r="AD269" s="33">
        <f>VLOOKUP(ужин5,таб,119,FALSE)</f>
        <v>0</v>
      </c>
      <c r="AE269" s="33">
        <f>VLOOKUP(ужин6,таб,119,FALSE)</f>
        <v>0</v>
      </c>
      <c r="AF269" s="33">
        <f>VLOOKUP(ужин7,таб,119,FALSE)</f>
        <v>0</v>
      </c>
      <c r="AG269" s="87">
        <f>VLOOKUP(ужин8,таб,119,FALSE)</f>
        <v>0</v>
      </c>
      <c r="AH269" s="253"/>
      <c r="AI269" s="139">
        <f>AK269/сред</f>
        <v>0</v>
      </c>
      <c r="AJ269" s="140"/>
      <c r="AK269" s="143">
        <f>SUM(G270:AG270)</f>
        <v>0</v>
      </c>
      <c r="AL269" s="143"/>
      <c r="AM269" s="131">
        <f>IF(AK269=0,0,Таблиця!DP267)</f>
        <v>0</v>
      </c>
      <c r="AN269" s="129">
        <f>AK269*AM269</f>
        <v>0</v>
      </c>
      <c r="AO269" s="16"/>
      <c r="AP269" s="16"/>
      <c r="AQ269" s="102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</row>
    <row r="270" spans="1:109" ht="30.75" customHeight="1" hidden="1">
      <c r="A270" s="136"/>
      <c r="B270" s="137"/>
      <c r="C270" s="137"/>
      <c r="D270" s="137"/>
      <c r="E270" s="138"/>
      <c r="F270" s="107" t="s">
        <v>96</v>
      </c>
      <c r="G270" s="75">
        <f aca="true" t="shared" si="277" ref="G270:AG270">IF(G269=0,"",завтракл*G269/1000)</f>
      </c>
      <c r="H270" s="23">
        <f t="shared" si="277"/>
      </c>
      <c r="I270" s="23"/>
      <c r="J270" s="23">
        <f t="shared" si="277"/>
      </c>
      <c r="K270" s="23">
        <f t="shared" si="277"/>
      </c>
      <c r="L270" s="122">
        <f t="shared" si="277"/>
      </c>
      <c r="M270" s="75">
        <f t="shared" si="277"/>
      </c>
      <c r="N270" s="83">
        <f t="shared" si="277"/>
      </c>
      <c r="O270" s="75">
        <f t="shared" si="277"/>
      </c>
      <c r="P270" s="23">
        <f t="shared" si="277"/>
      </c>
      <c r="Q270" s="23">
        <f t="shared" si="277"/>
      </c>
      <c r="R270" s="23">
        <f t="shared" si="277"/>
      </c>
      <c r="S270" s="23">
        <f t="shared" si="277"/>
      </c>
      <c r="T270" s="23">
        <f t="shared" si="277"/>
      </c>
      <c r="U270" s="23">
        <f t="shared" si="277"/>
      </c>
      <c r="V270" s="83">
        <f t="shared" si="277"/>
      </c>
      <c r="W270" s="25">
        <f t="shared" si="277"/>
      </c>
      <c r="X270" s="23"/>
      <c r="Y270" s="83">
        <f t="shared" si="277"/>
      </c>
      <c r="Z270" s="25">
        <f t="shared" si="277"/>
      </c>
      <c r="AA270" s="23">
        <f t="shared" si="277"/>
      </c>
      <c r="AB270" s="23">
        <f t="shared" si="277"/>
      </c>
      <c r="AC270" s="23">
        <f t="shared" si="277"/>
      </c>
      <c r="AD270" s="23">
        <f t="shared" si="277"/>
      </c>
      <c r="AE270" s="23">
        <f t="shared" si="277"/>
      </c>
      <c r="AF270" s="23">
        <f t="shared" si="277"/>
      </c>
      <c r="AG270" s="83">
        <f t="shared" si="277"/>
      </c>
      <c r="AH270" s="254"/>
      <c r="AI270" s="139"/>
      <c r="AJ270" s="140"/>
      <c r="AK270" s="143"/>
      <c r="AL270" s="143"/>
      <c r="AM270" s="132"/>
      <c r="AN270" s="130"/>
      <c r="AO270" s="16"/>
      <c r="AP270" s="16"/>
      <c r="AQ270" s="102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DE270" s="54"/>
    </row>
    <row r="271" spans="1:109" ht="30.75" customHeight="1" hidden="1">
      <c r="A271" s="133" t="s">
        <v>476</v>
      </c>
      <c r="B271" s="134"/>
      <c r="C271" s="134"/>
      <c r="D271" s="134"/>
      <c r="E271" s="135"/>
      <c r="F271" s="106" t="s">
        <v>95</v>
      </c>
      <c r="G271" s="71">
        <f>VLOOKUP(завтрак1,таб,120,FALSE)</f>
        <v>0</v>
      </c>
      <c r="H271" s="26">
        <f>VLOOKUP(завтрак2,таб,120,FALSE)</f>
        <v>0</v>
      </c>
      <c r="I271" s="26"/>
      <c r="J271" s="26">
        <f>VLOOKUP(завтрак4,таб,120,FALSE)</f>
        <v>0</v>
      </c>
      <c r="K271" s="26">
        <f>VLOOKUP(завтрак5,таб,120,FALSE)</f>
        <v>0</v>
      </c>
      <c r="L271" s="116">
        <f>VLOOKUP(завтрак6,таб,120,FALSE)</f>
        <v>0</v>
      </c>
      <c r="M271" s="71">
        <f>VLOOKUP(завтрак7,таб,120,FALSE)</f>
        <v>0</v>
      </c>
      <c r="N271" s="81">
        <f>VLOOKUP(завтрак8,таб,120,FALSE)</f>
        <v>0</v>
      </c>
      <c r="O271" s="34">
        <f>VLOOKUP(обед1,таб,120,FALSE)</f>
        <v>0</v>
      </c>
      <c r="P271" s="33">
        <f>VLOOKUP(обед2,таб,120,FALSE)</f>
        <v>0</v>
      </c>
      <c r="Q271" s="33">
        <f>VLOOKUP(обед3,таб,120,FALSE)</f>
        <v>0</v>
      </c>
      <c r="R271" s="33">
        <f>VLOOKUP(обед4,таб,120,FALSE)</f>
        <v>0</v>
      </c>
      <c r="S271" s="33">
        <f>VLOOKUP(обед5,таб,120,FALSE)</f>
        <v>0</v>
      </c>
      <c r="T271" s="33">
        <f>VLOOKUP(обед6,таб,120,FALSE)</f>
        <v>0</v>
      </c>
      <c r="U271" s="33">
        <f>VLOOKUP(обед7,таб,120,FALSE)</f>
        <v>0</v>
      </c>
      <c r="V271" s="87">
        <f>VLOOKUP(обед8,таб,120,FALSE)</f>
        <v>0</v>
      </c>
      <c r="W271" s="34">
        <f>VLOOKUP(полдник1,таб,120,FALSE)</f>
        <v>0</v>
      </c>
      <c r="X271" s="33"/>
      <c r="Y271" s="87">
        <f>VLOOKUP(полдник3,таб,120,FALSE)</f>
        <v>0</v>
      </c>
      <c r="Z271" s="34">
        <f>VLOOKUP(ужин1,таб,120,FALSE)</f>
        <v>0</v>
      </c>
      <c r="AA271" s="33">
        <f>VLOOKUP(ужин2,таб,120,FALSE)</f>
        <v>0</v>
      </c>
      <c r="AB271" s="33">
        <f>VLOOKUP(ужин3,таб,120,FALSE)</f>
        <v>0</v>
      </c>
      <c r="AC271" s="33">
        <f>VLOOKUP(ужин4,таб,120,FALSE)</f>
        <v>0</v>
      </c>
      <c r="AD271" s="33">
        <f>VLOOKUP(ужин5,таб,120,FALSE)</f>
        <v>0</v>
      </c>
      <c r="AE271" s="33">
        <f>VLOOKUP(ужин6,таб,120,FALSE)</f>
        <v>0</v>
      </c>
      <c r="AF271" s="33">
        <f>VLOOKUP(ужин7,таб,120,FALSE)</f>
        <v>0</v>
      </c>
      <c r="AG271" s="87">
        <f>VLOOKUP(ужин8,таб,120,FALSE)</f>
        <v>0</v>
      </c>
      <c r="AH271" s="253"/>
      <c r="AI271" s="139">
        <f>AK271/сред</f>
        <v>0</v>
      </c>
      <c r="AJ271" s="140"/>
      <c r="AK271" s="143">
        <f>SUM(G272:AG272)</f>
        <v>0</v>
      </c>
      <c r="AL271" s="143"/>
      <c r="AM271" s="131">
        <f>IF(AK271=0,0,Таблиця!DQ267)</f>
        <v>0</v>
      </c>
      <c r="AN271" s="129">
        <f>AK271*AM271</f>
        <v>0</v>
      </c>
      <c r="AO271" s="16"/>
      <c r="AP271" s="16"/>
      <c r="AQ271" s="102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DE271" s="54"/>
    </row>
    <row r="272" spans="1:109" ht="30.75" customHeight="1" hidden="1">
      <c r="A272" s="136"/>
      <c r="B272" s="137"/>
      <c r="C272" s="137"/>
      <c r="D272" s="137"/>
      <c r="E272" s="138"/>
      <c r="F272" s="107" t="s">
        <v>96</v>
      </c>
      <c r="G272" s="75">
        <f aca="true" t="shared" si="278" ref="G272:AG272">IF(G271=0,"",завтракл*G271/1000)</f>
      </c>
      <c r="H272" s="23">
        <f t="shared" si="278"/>
      </c>
      <c r="I272" s="23"/>
      <c r="J272" s="23">
        <f t="shared" si="278"/>
      </c>
      <c r="K272" s="23">
        <f t="shared" si="278"/>
      </c>
      <c r="L272" s="122">
        <f t="shared" si="278"/>
      </c>
      <c r="M272" s="75">
        <f t="shared" si="278"/>
      </c>
      <c r="N272" s="83">
        <f t="shared" si="278"/>
      </c>
      <c r="O272" s="75">
        <f t="shared" si="278"/>
      </c>
      <c r="P272" s="23">
        <f t="shared" si="278"/>
      </c>
      <c r="Q272" s="23">
        <f t="shared" si="278"/>
      </c>
      <c r="R272" s="23">
        <f t="shared" si="278"/>
      </c>
      <c r="S272" s="23">
        <f t="shared" si="278"/>
      </c>
      <c r="T272" s="23">
        <f t="shared" si="278"/>
      </c>
      <c r="U272" s="23">
        <f t="shared" si="278"/>
      </c>
      <c r="V272" s="83">
        <f t="shared" si="278"/>
      </c>
      <c r="W272" s="25">
        <f t="shared" si="278"/>
      </c>
      <c r="X272" s="23"/>
      <c r="Y272" s="83">
        <f t="shared" si="278"/>
      </c>
      <c r="Z272" s="25">
        <f t="shared" si="278"/>
      </c>
      <c r="AA272" s="23">
        <f t="shared" si="278"/>
      </c>
      <c r="AB272" s="23">
        <f t="shared" si="278"/>
      </c>
      <c r="AC272" s="23">
        <f t="shared" si="278"/>
      </c>
      <c r="AD272" s="23">
        <f t="shared" si="278"/>
      </c>
      <c r="AE272" s="23">
        <f t="shared" si="278"/>
      </c>
      <c r="AF272" s="23">
        <f t="shared" si="278"/>
      </c>
      <c r="AG272" s="83">
        <f t="shared" si="278"/>
      </c>
      <c r="AH272" s="254"/>
      <c r="AI272" s="139"/>
      <c r="AJ272" s="140"/>
      <c r="AK272" s="143"/>
      <c r="AL272" s="143"/>
      <c r="AM272" s="132"/>
      <c r="AN272" s="130"/>
      <c r="AO272" s="16"/>
      <c r="AP272" s="16"/>
      <c r="AQ272" s="102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DE272" s="54"/>
    </row>
    <row r="273" spans="1:129" ht="30.75" customHeight="1" hidden="1">
      <c r="A273" s="133" t="s">
        <v>477</v>
      </c>
      <c r="B273" s="134"/>
      <c r="C273" s="134"/>
      <c r="D273" s="134"/>
      <c r="E273" s="135"/>
      <c r="F273" s="106" t="s">
        <v>95</v>
      </c>
      <c r="G273" s="71">
        <f>VLOOKUP(завтрак1,таб,121,FALSE)</f>
        <v>0</v>
      </c>
      <c r="H273" s="26">
        <f>VLOOKUP(завтрак2,таб,121,FALSE)</f>
        <v>0</v>
      </c>
      <c r="I273" s="26"/>
      <c r="J273" s="26">
        <f>VLOOKUP(завтрак4,таб,121,FALSE)</f>
        <v>0</v>
      </c>
      <c r="K273" s="26">
        <f>VLOOKUP(завтрак5,таб,121,FALSE)</f>
        <v>0</v>
      </c>
      <c r="L273" s="116">
        <f>VLOOKUP(завтрак6,таб,121,FALSE)</f>
        <v>0</v>
      </c>
      <c r="M273" s="71">
        <f>VLOOKUP(завтрак7,таб,121,FALSE)</f>
        <v>0</v>
      </c>
      <c r="N273" s="81">
        <f>VLOOKUP(завтрак8,таб,121,FALSE)</f>
        <v>0</v>
      </c>
      <c r="O273" s="34">
        <f>VLOOKUP(обед1,таб,121,FALSE)</f>
        <v>0</v>
      </c>
      <c r="P273" s="33">
        <f>VLOOKUP(обед2,таб,121,FALSE)</f>
        <v>0</v>
      </c>
      <c r="Q273" s="33">
        <f>VLOOKUP(обед3,таб,121,FALSE)</f>
        <v>0</v>
      </c>
      <c r="R273" s="33">
        <f>VLOOKUP(обед4,таб,121,FALSE)</f>
        <v>0</v>
      </c>
      <c r="S273" s="33">
        <f>VLOOKUP(обед5,таб,121,FALSE)</f>
        <v>0</v>
      </c>
      <c r="T273" s="33">
        <f>VLOOKUP(обед6,таб,121,FALSE)</f>
        <v>0</v>
      </c>
      <c r="U273" s="33">
        <f>VLOOKUP(обед7,таб,121,FALSE)</f>
        <v>0</v>
      </c>
      <c r="V273" s="87">
        <f>VLOOKUP(обед8,таб,121,FALSE)</f>
        <v>0</v>
      </c>
      <c r="W273" s="34">
        <f>VLOOKUP(полдник1,таб,121,FALSE)</f>
        <v>0</v>
      </c>
      <c r="X273" s="33"/>
      <c r="Y273" s="87">
        <f>VLOOKUP(полдник3,таб,121,FALSE)</f>
        <v>0</v>
      </c>
      <c r="Z273" s="34">
        <f>VLOOKUP(ужин1,таб,121,FALSE)</f>
        <v>0</v>
      </c>
      <c r="AA273" s="33">
        <f>VLOOKUP(ужин2,таб,121,FALSE)</f>
        <v>0</v>
      </c>
      <c r="AB273" s="33">
        <f>VLOOKUP(ужин3,таб,121,FALSE)</f>
        <v>0</v>
      </c>
      <c r="AC273" s="33">
        <f>VLOOKUP(ужин4,таб,121,FALSE)</f>
        <v>0</v>
      </c>
      <c r="AD273" s="33">
        <f>VLOOKUP(ужин5,таб,121,FALSE)</f>
        <v>0</v>
      </c>
      <c r="AE273" s="33">
        <f>VLOOKUP(ужин6,таб,121,FALSE)</f>
        <v>0</v>
      </c>
      <c r="AF273" s="33">
        <f>VLOOKUP(ужин7,таб,121,FALSE)</f>
        <v>0</v>
      </c>
      <c r="AG273" s="87">
        <f>VLOOKUP(ужин8,таб,121,FALSE)</f>
        <v>0</v>
      </c>
      <c r="AH273" s="253"/>
      <c r="AI273" s="139">
        <f>AK273/сред</f>
        <v>0</v>
      </c>
      <c r="AJ273" s="140"/>
      <c r="AK273" s="143">
        <f>SUM(G274:AG274)</f>
        <v>0</v>
      </c>
      <c r="AL273" s="143"/>
      <c r="AM273" s="131">
        <f>IF(AK273=0,0,Таблиця!DR267)</f>
        <v>0</v>
      </c>
      <c r="AN273" s="129">
        <f>AK273*AM273</f>
        <v>0</v>
      </c>
      <c r="AO273" s="16"/>
      <c r="AP273" s="16"/>
      <c r="AQ273" s="103"/>
      <c r="AR273" s="104"/>
      <c r="AS273" s="104"/>
      <c r="AT273" s="104"/>
      <c r="AU273" s="104"/>
      <c r="AV273" s="104"/>
      <c r="AW273" s="104"/>
      <c r="AX273" s="104"/>
      <c r="AY273" s="104"/>
      <c r="AZ273" s="104"/>
      <c r="BA273" s="104"/>
      <c r="BB273" s="104"/>
      <c r="BC273" s="104"/>
      <c r="BD273" s="104"/>
      <c r="BE273" s="105"/>
      <c r="BF273" s="104"/>
      <c r="BG273" s="104"/>
      <c r="BH273" s="104"/>
      <c r="BI273" s="104"/>
      <c r="BJ273" s="104"/>
      <c r="BK273" s="104"/>
      <c r="BL273" s="104"/>
      <c r="BM273" s="104"/>
      <c r="BN273" s="104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90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4"/>
      <c r="DU273" s="54"/>
      <c r="DV273" s="54"/>
      <c r="DW273" s="54"/>
      <c r="DX273" s="54"/>
      <c r="DY273" s="54"/>
    </row>
    <row r="274" spans="1:109" ht="30.75" customHeight="1" hidden="1">
      <c r="A274" s="136"/>
      <c r="B274" s="137"/>
      <c r="C274" s="137"/>
      <c r="D274" s="137"/>
      <c r="E274" s="138"/>
      <c r="F274" s="107" t="s">
        <v>96</v>
      </c>
      <c r="G274" s="75">
        <f aca="true" t="shared" si="279" ref="G274:AG274">IF(G273=0,"",завтракл*G273/1000)</f>
      </c>
      <c r="H274" s="23">
        <f t="shared" si="279"/>
      </c>
      <c r="I274" s="23"/>
      <c r="J274" s="23">
        <f t="shared" si="279"/>
      </c>
      <c r="K274" s="23">
        <f t="shared" si="279"/>
      </c>
      <c r="L274" s="122">
        <f t="shared" si="279"/>
      </c>
      <c r="M274" s="75">
        <f t="shared" si="279"/>
      </c>
      <c r="N274" s="83">
        <f t="shared" si="279"/>
      </c>
      <c r="O274" s="75">
        <f t="shared" si="279"/>
      </c>
      <c r="P274" s="23">
        <f t="shared" si="279"/>
      </c>
      <c r="Q274" s="23">
        <f t="shared" si="279"/>
      </c>
      <c r="R274" s="23">
        <f t="shared" si="279"/>
      </c>
      <c r="S274" s="23">
        <f t="shared" si="279"/>
      </c>
      <c r="T274" s="23">
        <f t="shared" si="279"/>
      </c>
      <c r="U274" s="23">
        <f t="shared" si="279"/>
      </c>
      <c r="V274" s="83">
        <f t="shared" si="279"/>
      </c>
      <c r="W274" s="25">
        <f t="shared" si="279"/>
      </c>
      <c r="X274" s="23"/>
      <c r="Y274" s="83">
        <f t="shared" si="279"/>
      </c>
      <c r="Z274" s="25">
        <f t="shared" si="279"/>
      </c>
      <c r="AA274" s="23">
        <f t="shared" si="279"/>
      </c>
      <c r="AB274" s="23">
        <f t="shared" si="279"/>
      </c>
      <c r="AC274" s="23">
        <f t="shared" si="279"/>
      </c>
      <c r="AD274" s="23">
        <f t="shared" si="279"/>
      </c>
      <c r="AE274" s="23">
        <f t="shared" si="279"/>
      </c>
      <c r="AF274" s="23">
        <f t="shared" si="279"/>
      </c>
      <c r="AG274" s="83">
        <f t="shared" si="279"/>
      </c>
      <c r="AH274" s="254"/>
      <c r="AI274" s="139"/>
      <c r="AJ274" s="140"/>
      <c r="AK274" s="143"/>
      <c r="AL274" s="143"/>
      <c r="AM274" s="132"/>
      <c r="AN274" s="130"/>
      <c r="AO274" s="16"/>
      <c r="AP274" s="16"/>
      <c r="AQ274" s="102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DE274" s="54"/>
    </row>
    <row r="275" spans="1:109" ht="30.75" customHeight="1" hidden="1">
      <c r="A275" s="133" t="s">
        <v>478</v>
      </c>
      <c r="B275" s="134"/>
      <c r="C275" s="134"/>
      <c r="D275" s="134"/>
      <c r="E275" s="135"/>
      <c r="F275" s="106" t="s">
        <v>95</v>
      </c>
      <c r="G275" s="71">
        <f>VLOOKUP(завтрак1,таб,122,FALSE)</f>
        <v>0</v>
      </c>
      <c r="H275" s="26">
        <f>VLOOKUP(завтрак2,таб,122,FALSE)</f>
        <v>0</v>
      </c>
      <c r="I275" s="26"/>
      <c r="J275" s="26">
        <f>VLOOKUP(завтрак4,таб,122,FALSE)</f>
        <v>0</v>
      </c>
      <c r="K275" s="26">
        <f>VLOOKUP(завтрак5,таб,122,FALSE)</f>
        <v>0</v>
      </c>
      <c r="L275" s="116">
        <f>VLOOKUP(завтрак6,таб,122,FALSE)</f>
        <v>0</v>
      </c>
      <c r="M275" s="71">
        <f>VLOOKUP(завтрак7,таб,122,FALSE)</f>
        <v>0</v>
      </c>
      <c r="N275" s="81">
        <f>VLOOKUP(завтрак8,таб,122,FALSE)</f>
        <v>0</v>
      </c>
      <c r="O275" s="34">
        <f>VLOOKUP(обед1,таб,122,FALSE)</f>
        <v>0</v>
      </c>
      <c r="P275" s="33">
        <f>VLOOKUP(обед2,таб,122,FALSE)</f>
        <v>0</v>
      </c>
      <c r="Q275" s="33">
        <f>VLOOKUP(обед3,таб,122,FALSE)</f>
        <v>0</v>
      </c>
      <c r="R275" s="33">
        <f>VLOOKUP(обед4,таб,122,FALSE)</f>
        <v>0</v>
      </c>
      <c r="S275" s="33">
        <f>VLOOKUP(обед5,таб,122,FALSE)</f>
        <v>0</v>
      </c>
      <c r="T275" s="33">
        <f>VLOOKUP(обед6,таб,122,FALSE)</f>
        <v>0</v>
      </c>
      <c r="U275" s="33">
        <f>VLOOKUP(обед7,таб,122,FALSE)</f>
        <v>0</v>
      </c>
      <c r="V275" s="87">
        <f>VLOOKUP(обед8,таб,122,FALSE)</f>
        <v>0</v>
      </c>
      <c r="W275" s="34">
        <f>VLOOKUP(полдник1,таб,122,FALSE)</f>
        <v>0</v>
      </c>
      <c r="X275" s="33"/>
      <c r="Y275" s="87">
        <f>VLOOKUP(полдник3,таб,122,FALSE)</f>
        <v>0</v>
      </c>
      <c r="Z275" s="34">
        <f>VLOOKUP(ужин1,таб,122,FALSE)</f>
        <v>0</v>
      </c>
      <c r="AA275" s="33">
        <f>VLOOKUP(ужин2,таб,122,FALSE)</f>
        <v>0</v>
      </c>
      <c r="AB275" s="33">
        <f>VLOOKUP(ужин3,таб,122,FALSE)</f>
        <v>0</v>
      </c>
      <c r="AC275" s="33">
        <f>VLOOKUP(ужин4,таб,122,FALSE)</f>
        <v>0</v>
      </c>
      <c r="AD275" s="33">
        <f>VLOOKUP(ужин5,таб,122,FALSE)</f>
        <v>0</v>
      </c>
      <c r="AE275" s="33">
        <f>VLOOKUP(ужин6,таб,122,FALSE)</f>
        <v>0</v>
      </c>
      <c r="AF275" s="33">
        <f>VLOOKUP(ужин7,таб,122,FALSE)</f>
        <v>0</v>
      </c>
      <c r="AG275" s="87">
        <f>VLOOKUP(ужин8,таб,122,FALSE)</f>
        <v>0</v>
      </c>
      <c r="AH275" s="253"/>
      <c r="AI275" s="139">
        <f>AK275/сред</f>
        <v>0</v>
      </c>
      <c r="AJ275" s="140"/>
      <c r="AK275" s="143">
        <f>SUM(G276:AG276)</f>
        <v>0</v>
      </c>
      <c r="AL275" s="143"/>
      <c r="AM275" s="131">
        <f>IF(AK275=0,0,Таблиця!DS267)</f>
        <v>0</v>
      </c>
      <c r="AN275" s="129">
        <f>AK275*AM275</f>
        <v>0</v>
      </c>
      <c r="AO275" s="16"/>
      <c r="AP275" s="16"/>
      <c r="AQ275" s="102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DE275" s="54"/>
    </row>
    <row r="276" spans="1:109" ht="30.75" customHeight="1" hidden="1">
      <c r="A276" s="136"/>
      <c r="B276" s="137"/>
      <c r="C276" s="137"/>
      <c r="D276" s="137"/>
      <c r="E276" s="138"/>
      <c r="F276" s="107" t="s">
        <v>96</v>
      </c>
      <c r="G276" s="75">
        <f aca="true" t="shared" si="280" ref="G276:AG276">IF(G275=0,"",завтракл*G275/1000)</f>
      </c>
      <c r="H276" s="23">
        <f t="shared" si="280"/>
      </c>
      <c r="I276" s="23"/>
      <c r="J276" s="23">
        <f t="shared" si="280"/>
      </c>
      <c r="K276" s="23">
        <f t="shared" si="280"/>
      </c>
      <c r="L276" s="122">
        <f t="shared" si="280"/>
      </c>
      <c r="M276" s="75">
        <f t="shared" si="280"/>
      </c>
      <c r="N276" s="83">
        <f t="shared" si="280"/>
      </c>
      <c r="O276" s="75">
        <f t="shared" si="280"/>
      </c>
      <c r="P276" s="23">
        <f t="shared" si="280"/>
      </c>
      <c r="Q276" s="23">
        <f t="shared" si="280"/>
      </c>
      <c r="R276" s="23">
        <f t="shared" si="280"/>
      </c>
      <c r="S276" s="23">
        <f t="shared" si="280"/>
      </c>
      <c r="T276" s="23">
        <f t="shared" si="280"/>
      </c>
      <c r="U276" s="23">
        <f t="shared" si="280"/>
      </c>
      <c r="V276" s="83">
        <f t="shared" si="280"/>
      </c>
      <c r="W276" s="25">
        <f t="shared" si="280"/>
      </c>
      <c r="X276" s="23"/>
      <c r="Y276" s="83">
        <f t="shared" si="280"/>
      </c>
      <c r="Z276" s="25">
        <f t="shared" si="280"/>
      </c>
      <c r="AA276" s="23">
        <f t="shared" si="280"/>
      </c>
      <c r="AB276" s="23">
        <f t="shared" si="280"/>
      </c>
      <c r="AC276" s="23">
        <f t="shared" si="280"/>
      </c>
      <c r="AD276" s="23">
        <f t="shared" si="280"/>
      </c>
      <c r="AE276" s="23">
        <f t="shared" si="280"/>
      </c>
      <c r="AF276" s="23">
        <f t="shared" si="280"/>
      </c>
      <c r="AG276" s="83">
        <f t="shared" si="280"/>
      </c>
      <c r="AH276" s="254"/>
      <c r="AI276" s="139"/>
      <c r="AJ276" s="140"/>
      <c r="AK276" s="143"/>
      <c r="AL276" s="143"/>
      <c r="AM276" s="132"/>
      <c r="AN276" s="130"/>
      <c r="AO276" s="16"/>
      <c r="AP276" s="16"/>
      <c r="AQ276" s="102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DE276" s="54"/>
    </row>
    <row r="277" spans="1:109" ht="30.75" customHeight="1" hidden="1">
      <c r="A277" s="133" t="s">
        <v>479</v>
      </c>
      <c r="B277" s="134"/>
      <c r="C277" s="134"/>
      <c r="D277" s="134"/>
      <c r="E277" s="135"/>
      <c r="F277" s="106" t="s">
        <v>95</v>
      </c>
      <c r="G277" s="71">
        <f>VLOOKUP(завтрак1,таб,123,FALSE)</f>
        <v>0</v>
      </c>
      <c r="H277" s="26">
        <f>VLOOKUP(завтрак2,таб,123,FALSE)</f>
        <v>0</v>
      </c>
      <c r="I277" s="26"/>
      <c r="J277" s="26">
        <f>VLOOKUP(завтрак4,таб,123,FALSE)</f>
        <v>0</v>
      </c>
      <c r="K277" s="26">
        <f>VLOOKUP(завтрак5,таб,123,FALSE)</f>
        <v>0</v>
      </c>
      <c r="L277" s="116">
        <f>VLOOKUP(завтрак6,таб,123,FALSE)</f>
        <v>0</v>
      </c>
      <c r="M277" s="71">
        <f>VLOOKUP(завтрак7,таб,123,FALSE)</f>
        <v>0</v>
      </c>
      <c r="N277" s="81">
        <f>VLOOKUP(завтрак8,таб,123,FALSE)</f>
        <v>0</v>
      </c>
      <c r="O277" s="34">
        <f>VLOOKUP(обед1,таб,123,FALSE)</f>
        <v>0</v>
      </c>
      <c r="P277" s="33">
        <f>VLOOKUP(обед2,таб,123,FALSE)</f>
        <v>0</v>
      </c>
      <c r="Q277" s="33">
        <f>VLOOKUP(обед3,таб,123,FALSE)</f>
        <v>0</v>
      </c>
      <c r="R277" s="33">
        <f>VLOOKUP(обед4,таб,123,FALSE)</f>
        <v>0</v>
      </c>
      <c r="S277" s="33">
        <f>VLOOKUP(обед5,таб,123,FALSE)</f>
        <v>0</v>
      </c>
      <c r="T277" s="33">
        <f>VLOOKUP(обед6,таб,123,FALSE)</f>
        <v>0</v>
      </c>
      <c r="U277" s="33">
        <f>VLOOKUP(обед7,таб,123,FALSE)</f>
        <v>0</v>
      </c>
      <c r="V277" s="87">
        <f>VLOOKUP(обед8,таб,123,FALSE)</f>
        <v>0</v>
      </c>
      <c r="W277" s="34">
        <f>VLOOKUP(полдник1,таб,123,FALSE)</f>
        <v>0</v>
      </c>
      <c r="X277" s="33"/>
      <c r="Y277" s="87">
        <f>VLOOKUP(полдник3,таб,123,FALSE)</f>
        <v>0</v>
      </c>
      <c r="Z277" s="34">
        <f>VLOOKUP(ужин1,таб,123,FALSE)</f>
        <v>0</v>
      </c>
      <c r="AA277" s="33">
        <f>VLOOKUP(ужин2,таб,123,FALSE)</f>
        <v>0</v>
      </c>
      <c r="AB277" s="33">
        <f>VLOOKUP(ужин3,таб,123,FALSE)</f>
        <v>0</v>
      </c>
      <c r="AC277" s="33">
        <f>VLOOKUP(ужин4,таб,123,FALSE)</f>
        <v>0</v>
      </c>
      <c r="AD277" s="33">
        <f>VLOOKUP(ужин5,таб,123,FALSE)</f>
        <v>0</v>
      </c>
      <c r="AE277" s="33">
        <f>VLOOKUP(ужин6,таб,123,FALSE)</f>
        <v>0</v>
      </c>
      <c r="AF277" s="33">
        <f>VLOOKUP(ужин7,таб,123,FALSE)</f>
        <v>0</v>
      </c>
      <c r="AG277" s="87">
        <f>VLOOKUP(ужин8,таб,123,FALSE)</f>
        <v>0</v>
      </c>
      <c r="AH277" s="253"/>
      <c r="AI277" s="139">
        <f>AK277/сред</f>
        <v>0</v>
      </c>
      <c r="AJ277" s="140"/>
      <c r="AK277" s="143">
        <f>SUM(G278:AG278)</f>
        <v>0</v>
      </c>
      <c r="AL277" s="143"/>
      <c r="AM277" s="131">
        <f>IF(AK277=0,0,Таблиця!DT267)</f>
        <v>0</v>
      </c>
      <c r="AN277" s="129">
        <f>AK277*AM277</f>
        <v>0</v>
      </c>
      <c r="AO277" s="16"/>
      <c r="AP277" s="16"/>
      <c r="AQ277" s="102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DE277" s="54"/>
    </row>
    <row r="278" spans="1:109" ht="30.75" customHeight="1" hidden="1">
      <c r="A278" s="136"/>
      <c r="B278" s="137"/>
      <c r="C278" s="137"/>
      <c r="D278" s="137"/>
      <c r="E278" s="138"/>
      <c r="F278" s="107" t="s">
        <v>96</v>
      </c>
      <c r="G278" s="75">
        <f aca="true" t="shared" si="281" ref="G278:AG278">IF(G277=0,"",завтракл*G277/1000)</f>
      </c>
      <c r="H278" s="23">
        <f t="shared" si="281"/>
      </c>
      <c r="I278" s="23"/>
      <c r="J278" s="23">
        <f t="shared" si="281"/>
      </c>
      <c r="K278" s="23">
        <f t="shared" si="281"/>
      </c>
      <c r="L278" s="122">
        <f t="shared" si="281"/>
      </c>
      <c r="M278" s="75">
        <f t="shared" si="281"/>
      </c>
      <c r="N278" s="83">
        <f t="shared" si="281"/>
      </c>
      <c r="O278" s="75">
        <f t="shared" si="281"/>
      </c>
      <c r="P278" s="23">
        <f t="shared" si="281"/>
      </c>
      <c r="Q278" s="23">
        <f t="shared" si="281"/>
      </c>
      <c r="R278" s="23">
        <f t="shared" si="281"/>
      </c>
      <c r="S278" s="23">
        <f t="shared" si="281"/>
      </c>
      <c r="T278" s="23">
        <f t="shared" si="281"/>
      </c>
      <c r="U278" s="23">
        <f t="shared" si="281"/>
      </c>
      <c r="V278" s="83">
        <f t="shared" si="281"/>
      </c>
      <c r="W278" s="25">
        <f t="shared" si="281"/>
      </c>
      <c r="X278" s="23"/>
      <c r="Y278" s="83">
        <f t="shared" si="281"/>
      </c>
      <c r="Z278" s="25">
        <f t="shared" si="281"/>
      </c>
      <c r="AA278" s="23">
        <f t="shared" si="281"/>
      </c>
      <c r="AB278" s="23">
        <f t="shared" si="281"/>
      </c>
      <c r="AC278" s="23">
        <f t="shared" si="281"/>
      </c>
      <c r="AD278" s="23">
        <f t="shared" si="281"/>
      </c>
      <c r="AE278" s="23">
        <f t="shared" si="281"/>
      </c>
      <c r="AF278" s="23">
        <f t="shared" si="281"/>
      </c>
      <c r="AG278" s="83">
        <f t="shared" si="281"/>
      </c>
      <c r="AH278" s="254"/>
      <c r="AI278" s="139"/>
      <c r="AJ278" s="140"/>
      <c r="AK278" s="143"/>
      <c r="AL278" s="143"/>
      <c r="AM278" s="132"/>
      <c r="AN278" s="130"/>
      <c r="AO278" s="16"/>
      <c r="AP278" s="16"/>
      <c r="AQ278" s="102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DE278" s="54"/>
    </row>
    <row r="279" spans="1:66" ht="30.75" customHeight="1" hidden="1">
      <c r="A279" s="133" t="s">
        <v>480</v>
      </c>
      <c r="B279" s="134"/>
      <c r="C279" s="134"/>
      <c r="D279" s="134"/>
      <c r="E279" s="135"/>
      <c r="F279" s="106" t="s">
        <v>95</v>
      </c>
      <c r="G279" s="71">
        <f>VLOOKUP(завтрак1,таб,124,FALSE)</f>
        <v>0</v>
      </c>
      <c r="H279" s="26">
        <f>VLOOKUP(завтрак2,таб,124,FALSE)</f>
        <v>0</v>
      </c>
      <c r="I279" s="26"/>
      <c r="J279" s="26">
        <f>VLOOKUP(завтрак4,таб,124,FALSE)</f>
        <v>0</v>
      </c>
      <c r="K279" s="26">
        <f>VLOOKUP(завтрак5,таб,124,FALSE)</f>
        <v>0</v>
      </c>
      <c r="L279" s="116">
        <f>VLOOKUP(завтрак6,таб,124,FALSE)</f>
        <v>0</v>
      </c>
      <c r="M279" s="71">
        <f>VLOOKUP(завтрак7,таб,124,FALSE)</f>
        <v>0</v>
      </c>
      <c r="N279" s="81">
        <f>VLOOKUP(завтрак8,таб,124,FALSE)</f>
        <v>0</v>
      </c>
      <c r="O279" s="34">
        <f>VLOOKUP(обед1,таб,124,FALSE)</f>
        <v>0</v>
      </c>
      <c r="P279" s="33">
        <f>VLOOKUP(обед2,таб,124,FALSE)</f>
        <v>0</v>
      </c>
      <c r="Q279" s="33">
        <f>VLOOKUP(обед3,таб,124,FALSE)</f>
        <v>0</v>
      </c>
      <c r="R279" s="33">
        <f>VLOOKUP(обед4,таб,124,FALSE)</f>
        <v>0</v>
      </c>
      <c r="S279" s="33">
        <f>VLOOKUP(обед5,таб,124,FALSE)</f>
        <v>0</v>
      </c>
      <c r="T279" s="33">
        <f>VLOOKUP(обед6,таб,124,FALSE)</f>
        <v>0</v>
      </c>
      <c r="U279" s="33">
        <f>VLOOKUP(обед7,таб,124,FALSE)</f>
        <v>0</v>
      </c>
      <c r="V279" s="87">
        <f>VLOOKUP(обед8,таб,124,FALSE)</f>
        <v>0</v>
      </c>
      <c r="W279" s="34">
        <f>VLOOKUP(полдник1,таб,124,FALSE)</f>
        <v>0</v>
      </c>
      <c r="X279" s="33"/>
      <c r="Y279" s="87">
        <f>VLOOKUP(полдник3,таб,124,FALSE)</f>
        <v>0</v>
      </c>
      <c r="Z279" s="34">
        <f>VLOOKUP(ужин1,таб,124,FALSE)</f>
        <v>0</v>
      </c>
      <c r="AA279" s="33">
        <f>VLOOKUP(ужин2,таб,124,FALSE)</f>
        <v>0</v>
      </c>
      <c r="AB279" s="33">
        <f>VLOOKUP(ужин3,таб,124,FALSE)</f>
        <v>0</v>
      </c>
      <c r="AC279" s="33">
        <f>VLOOKUP(ужин4,таб,124,FALSE)</f>
        <v>0</v>
      </c>
      <c r="AD279" s="33">
        <f>VLOOKUP(ужин5,таб,124,FALSE)</f>
        <v>0</v>
      </c>
      <c r="AE279" s="33">
        <f>VLOOKUP(ужин6,таб,124,FALSE)</f>
        <v>0</v>
      </c>
      <c r="AF279" s="33">
        <f>VLOOKUP(ужин7,таб,124,FALSE)</f>
        <v>0</v>
      </c>
      <c r="AG279" s="87">
        <f>VLOOKUP(ужин8,таб,124,FALSE)</f>
        <v>0</v>
      </c>
      <c r="AH279" s="253"/>
      <c r="AI279" s="139">
        <f>AK279/сред</f>
        <v>0</v>
      </c>
      <c r="AJ279" s="140"/>
      <c r="AK279" s="143">
        <f>SUM(G280:AG280)</f>
        <v>0</v>
      </c>
      <c r="AL279" s="143"/>
      <c r="AM279" s="131">
        <f>IF(AK279=0,0,Таблиця!DU267)</f>
        <v>0</v>
      </c>
      <c r="AN279" s="129">
        <f>AK279*AM279</f>
        <v>0</v>
      </c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</row>
    <row r="280" spans="1:66" ht="30.75" customHeight="1" hidden="1">
      <c r="A280" s="136"/>
      <c r="B280" s="137"/>
      <c r="C280" s="137"/>
      <c r="D280" s="137"/>
      <c r="E280" s="138"/>
      <c r="F280" s="107" t="s">
        <v>96</v>
      </c>
      <c r="G280" s="75">
        <f aca="true" t="shared" si="282" ref="G280:AG280">IF(G279=0,"",завтракл*G279/1000)</f>
      </c>
      <c r="H280" s="23">
        <f t="shared" si="282"/>
      </c>
      <c r="I280" s="23"/>
      <c r="J280" s="23">
        <f t="shared" si="282"/>
      </c>
      <c r="K280" s="23">
        <f t="shared" si="282"/>
      </c>
      <c r="L280" s="122">
        <f t="shared" si="282"/>
      </c>
      <c r="M280" s="75">
        <f t="shared" si="282"/>
      </c>
      <c r="N280" s="83">
        <f t="shared" si="282"/>
      </c>
      <c r="O280" s="75">
        <f t="shared" si="282"/>
      </c>
      <c r="P280" s="23">
        <f t="shared" si="282"/>
      </c>
      <c r="Q280" s="23">
        <f t="shared" si="282"/>
      </c>
      <c r="R280" s="23">
        <f t="shared" si="282"/>
      </c>
      <c r="S280" s="23">
        <f t="shared" si="282"/>
      </c>
      <c r="T280" s="23">
        <f t="shared" si="282"/>
      </c>
      <c r="U280" s="23">
        <f t="shared" si="282"/>
      </c>
      <c r="V280" s="83">
        <f t="shared" si="282"/>
      </c>
      <c r="W280" s="25">
        <f t="shared" si="282"/>
      </c>
      <c r="X280" s="23"/>
      <c r="Y280" s="83">
        <f t="shared" si="282"/>
      </c>
      <c r="Z280" s="25">
        <f t="shared" si="282"/>
      </c>
      <c r="AA280" s="23">
        <f t="shared" si="282"/>
      </c>
      <c r="AB280" s="23">
        <f t="shared" si="282"/>
      </c>
      <c r="AC280" s="23">
        <f t="shared" si="282"/>
      </c>
      <c r="AD280" s="23">
        <f t="shared" si="282"/>
      </c>
      <c r="AE280" s="23">
        <f t="shared" si="282"/>
      </c>
      <c r="AF280" s="23">
        <f t="shared" si="282"/>
      </c>
      <c r="AG280" s="83">
        <f t="shared" si="282"/>
      </c>
      <c r="AH280" s="254"/>
      <c r="AI280" s="139"/>
      <c r="AJ280" s="140"/>
      <c r="AK280" s="143"/>
      <c r="AL280" s="143"/>
      <c r="AM280" s="132"/>
      <c r="AN280" s="130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</row>
    <row r="281" spans="1:66" ht="30.75" customHeight="1" hidden="1">
      <c r="A281" s="133" t="s">
        <v>481</v>
      </c>
      <c r="B281" s="134"/>
      <c r="C281" s="134"/>
      <c r="D281" s="134"/>
      <c r="E281" s="135"/>
      <c r="F281" s="106" t="s">
        <v>95</v>
      </c>
      <c r="G281" s="71">
        <f>VLOOKUP(завтрак1,таб,125,FALSE)</f>
        <v>0</v>
      </c>
      <c r="H281" s="26">
        <f>VLOOKUP(завтрак2,таб,125,FALSE)</f>
        <v>0</v>
      </c>
      <c r="I281" s="26"/>
      <c r="J281" s="26">
        <f>VLOOKUP(завтрак4,таб,125,FALSE)</f>
        <v>0</v>
      </c>
      <c r="K281" s="26">
        <f>VLOOKUP(завтрак5,таб,125,FALSE)</f>
        <v>0</v>
      </c>
      <c r="L281" s="116">
        <f>VLOOKUP(завтрак6,таб,125,FALSE)</f>
        <v>0</v>
      </c>
      <c r="M281" s="71">
        <f>VLOOKUP(завтрак7,таб,125,FALSE)</f>
        <v>0</v>
      </c>
      <c r="N281" s="81">
        <f>VLOOKUP(завтрак8,таб,125,FALSE)</f>
        <v>0</v>
      </c>
      <c r="O281" s="34">
        <f>VLOOKUP(обед1,таб,125,FALSE)</f>
        <v>0</v>
      </c>
      <c r="P281" s="33">
        <f>VLOOKUP(обед2,таб,125,FALSE)</f>
        <v>0</v>
      </c>
      <c r="Q281" s="33">
        <f>VLOOKUP(обед3,таб,125,FALSE)</f>
        <v>0</v>
      </c>
      <c r="R281" s="33">
        <f>VLOOKUP(обед4,таб,125,FALSE)</f>
        <v>0</v>
      </c>
      <c r="S281" s="33">
        <f>VLOOKUP(обед5,таб,125,FALSE)</f>
        <v>0</v>
      </c>
      <c r="T281" s="33">
        <f>VLOOKUP(обед6,таб,125,FALSE)</f>
        <v>0</v>
      </c>
      <c r="U281" s="33">
        <f>VLOOKUP(обед7,таб,125,FALSE)</f>
        <v>0</v>
      </c>
      <c r="V281" s="87">
        <f>VLOOKUP(обед8,таб,125,FALSE)</f>
        <v>0</v>
      </c>
      <c r="W281" s="34">
        <f>VLOOKUP(полдник1,таб,125,FALSE)</f>
        <v>0</v>
      </c>
      <c r="X281" s="33"/>
      <c r="Y281" s="87">
        <f>VLOOKUP(полдник3,таб,125,FALSE)</f>
        <v>0</v>
      </c>
      <c r="Z281" s="34">
        <f>VLOOKUP(ужин1,таб,125,FALSE)</f>
        <v>0</v>
      </c>
      <c r="AA281" s="33">
        <f>VLOOKUP(ужин2,таб,125,FALSE)</f>
        <v>0</v>
      </c>
      <c r="AB281" s="33">
        <f>VLOOKUP(ужин3,таб,125,FALSE)</f>
        <v>0</v>
      </c>
      <c r="AC281" s="33">
        <f>VLOOKUP(ужин4,таб,125,FALSE)</f>
        <v>0</v>
      </c>
      <c r="AD281" s="33">
        <f>VLOOKUP(ужин5,таб,125,FALSE)</f>
        <v>0</v>
      </c>
      <c r="AE281" s="33">
        <f>VLOOKUP(ужин6,таб,125,FALSE)</f>
        <v>0</v>
      </c>
      <c r="AF281" s="33">
        <f>VLOOKUP(ужин7,таб,125,FALSE)</f>
        <v>0</v>
      </c>
      <c r="AG281" s="87">
        <f>VLOOKUP(ужин8,таб,125,FALSE)</f>
        <v>0</v>
      </c>
      <c r="AH281" s="253"/>
      <c r="AI281" s="139">
        <f>AK281/сред</f>
        <v>0</v>
      </c>
      <c r="AJ281" s="140"/>
      <c r="AK281" s="143">
        <f>SUM(G282:AG282)</f>
        <v>0</v>
      </c>
      <c r="AL281" s="143"/>
      <c r="AM281" s="131">
        <f>IF(AK281=0,0,Таблиця!DV267)</f>
        <v>0</v>
      </c>
      <c r="AN281" s="129">
        <f>AK281*AM281</f>
        <v>0</v>
      </c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</row>
    <row r="282" spans="1:66" ht="30.75" customHeight="1" hidden="1">
      <c r="A282" s="136"/>
      <c r="B282" s="137"/>
      <c r="C282" s="137"/>
      <c r="D282" s="137"/>
      <c r="E282" s="138"/>
      <c r="F282" s="107" t="s">
        <v>96</v>
      </c>
      <c r="G282" s="75">
        <f aca="true" t="shared" si="283" ref="G282:AG282">IF(G281=0,"",завтракл*G281/1000)</f>
      </c>
      <c r="H282" s="23">
        <f t="shared" si="283"/>
      </c>
      <c r="I282" s="23"/>
      <c r="J282" s="23">
        <f t="shared" si="283"/>
      </c>
      <c r="K282" s="23">
        <f t="shared" si="283"/>
      </c>
      <c r="L282" s="122">
        <f t="shared" si="283"/>
      </c>
      <c r="M282" s="75">
        <f t="shared" si="283"/>
      </c>
      <c r="N282" s="83">
        <f t="shared" si="283"/>
      </c>
      <c r="O282" s="75">
        <f t="shared" si="283"/>
      </c>
      <c r="P282" s="23">
        <f t="shared" si="283"/>
      </c>
      <c r="Q282" s="23">
        <f t="shared" si="283"/>
      </c>
      <c r="R282" s="23">
        <f t="shared" si="283"/>
      </c>
      <c r="S282" s="23">
        <f t="shared" si="283"/>
      </c>
      <c r="T282" s="23">
        <f t="shared" si="283"/>
      </c>
      <c r="U282" s="23">
        <f t="shared" si="283"/>
      </c>
      <c r="V282" s="83">
        <f t="shared" si="283"/>
      </c>
      <c r="W282" s="25">
        <f t="shared" si="283"/>
      </c>
      <c r="X282" s="23"/>
      <c r="Y282" s="83">
        <f t="shared" si="283"/>
      </c>
      <c r="Z282" s="25">
        <f t="shared" si="283"/>
      </c>
      <c r="AA282" s="23">
        <f t="shared" si="283"/>
      </c>
      <c r="AB282" s="23">
        <f t="shared" si="283"/>
      </c>
      <c r="AC282" s="23">
        <f t="shared" si="283"/>
      </c>
      <c r="AD282" s="23">
        <f t="shared" si="283"/>
      </c>
      <c r="AE282" s="23">
        <f t="shared" si="283"/>
      </c>
      <c r="AF282" s="23">
        <f t="shared" si="283"/>
      </c>
      <c r="AG282" s="83">
        <f t="shared" si="283"/>
      </c>
      <c r="AH282" s="254"/>
      <c r="AI282" s="139"/>
      <c r="AJ282" s="140"/>
      <c r="AK282" s="143"/>
      <c r="AL282" s="143"/>
      <c r="AM282" s="132"/>
      <c r="AN282" s="130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</row>
    <row r="283" spans="1:66" ht="30.75" customHeight="1" hidden="1">
      <c r="A283" s="133" t="s">
        <v>482</v>
      </c>
      <c r="B283" s="134"/>
      <c r="C283" s="134"/>
      <c r="D283" s="134"/>
      <c r="E283" s="135"/>
      <c r="F283" s="106" t="s">
        <v>95</v>
      </c>
      <c r="G283" s="71">
        <f>VLOOKUP(завтрак1,таб,126,FALSE)</f>
        <v>0</v>
      </c>
      <c r="H283" s="26">
        <f>VLOOKUP(завтрак2,таб,126,FALSE)</f>
        <v>0</v>
      </c>
      <c r="I283" s="26"/>
      <c r="J283" s="26">
        <f>VLOOKUP(завтрак4,таб,126,FALSE)</f>
        <v>0</v>
      </c>
      <c r="K283" s="26">
        <f>VLOOKUP(завтрак5,таб,126,FALSE)</f>
        <v>0</v>
      </c>
      <c r="L283" s="116">
        <f>VLOOKUP(завтрак6,таб,126,FALSE)</f>
        <v>0</v>
      </c>
      <c r="M283" s="71">
        <f>VLOOKUP(завтрак7,таб,126,FALSE)</f>
        <v>0</v>
      </c>
      <c r="N283" s="81">
        <f>VLOOKUP(завтрак8,таб,126,FALSE)</f>
        <v>0</v>
      </c>
      <c r="O283" s="34">
        <f>VLOOKUP(обед1,таб,126,FALSE)</f>
        <v>0</v>
      </c>
      <c r="P283" s="33">
        <f>VLOOKUP(обед2,таб,126,FALSE)</f>
        <v>0</v>
      </c>
      <c r="Q283" s="33">
        <f>VLOOKUP(обед3,таб,126,FALSE)</f>
        <v>0</v>
      </c>
      <c r="R283" s="33">
        <f>VLOOKUP(обед4,таб,126,FALSE)</f>
        <v>0</v>
      </c>
      <c r="S283" s="33">
        <f>VLOOKUP(обед5,таб,126,FALSE)</f>
        <v>0</v>
      </c>
      <c r="T283" s="33">
        <f>VLOOKUP(обед6,таб,126,FALSE)</f>
        <v>0</v>
      </c>
      <c r="U283" s="33">
        <f>VLOOKUP(обед7,таб,126,FALSE)</f>
        <v>0</v>
      </c>
      <c r="V283" s="87">
        <f>VLOOKUP(обед8,таб,126,FALSE)</f>
        <v>0</v>
      </c>
      <c r="W283" s="34">
        <f>VLOOKUP(полдник1,таб,126,FALSE)</f>
        <v>0</v>
      </c>
      <c r="X283" s="33"/>
      <c r="Y283" s="87">
        <f>VLOOKUP(полдник3,таб,126,FALSE)</f>
        <v>0</v>
      </c>
      <c r="Z283" s="34">
        <f>VLOOKUP(ужин1,таб,126,FALSE)</f>
        <v>0</v>
      </c>
      <c r="AA283" s="33">
        <f>VLOOKUP(ужин2,таб,126,FALSE)</f>
        <v>0</v>
      </c>
      <c r="AB283" s="33">
        <f>VLOOKUP(ужин3,таб,126,FALSE)</f>
        <v>0</v>
      </c>
      <c r="AC283" s="33">
        <f>VLOOKUP(ужин4,таб,126,FALSE)</f>
        <v>0</v>
      </c>
      <c r="AD283" s="33">
        <f>VLOOKUP(ужин5,таб,126,FALSE)</f>
        <v>0</v>
      </c>
      <c r="AE283" s="33">
        <f>VLOOKUP(ужин6,таб,126,FALSE)</f>
        <v>0</v>
      </c>
      <c r="AF283" s="33">
        <f>VLOOKUP(ужин7,таб,126,FALSE)</f>
        <v>0</v>
      </c>
      <c r="AG283" s="87">
        <f>VLOOKUP(ужин8,таб,126,FALSE)</f>
        <v>0</v>
      </c>
      <c r="AH283" s="253"/>
      <c r="AI283" s="139">
        <f>AK283/сред</f>
        <v>0</v>
      </c>
      <c r="AJ283" s="140"/>
      <c r="AK283" s="143">
        <f>SUM(G284:AG284)</f>
        <v>0</v>
      </c>
      <c r="AL283" s="143"/>
      <c r="AM283" s="131">
        <f>IF(AK283=0,0,Таблиця!DW267)</f>
        <v>0</v>
      </c>
      <c r="AN283" s="129">
        <f>AK283*AM283</f>
        <v>0</v>
      </c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</row>
    <row r="284" spans="1:66" ht="30.75" customHeight="1" hidden="1">
      <c r="A284" s="136"/>
      <c r="B284" s="137"/>
      <c r="C284" s="137"/>
      <c r="D284" s="137"/>
      <c r="E284" s="138"/>
      <c r="F284" s="107" t="s">
        <v>96</v>
      </c>
      <c r="G284" s="75">
        <f aca="true" t="shared" si="284" ref="G284:AG284">IF(G283=0,"",завтракл*G283/1000)</f>
      </c>
      <c r="H284" s="23">
        <f t="shared" si="284"/>
      </c>
      <c r="I284" s="23"/>
      <c r="J284" s="23">
        <f t="shared" si="284"/>
      </c>
      <c r="K284" s="23">
        <f t="shared" si="284"/>
      </c>
      <c r="L284" s="122">
        <f t="shared" si="284"/>
      </c>
      <c r="M284" s="75">
        <f t="shared" si="284"/>
      </c>
      <c r="N284" s="83">
        <f t="shared" si="284"/>
      </c>
      <c r="O284" s="75">
        <f t="shared" si="284"/>
      </c>
      <c r="P284" s="23">
        <f t="shared" si="284"/>
      </c>
      <c r="Q284" s="23">
        <f t="shared" si="284"/>
      </c>
      <c r="R284" s="23">
        <f t="shared" si="284"/>
      </c>
      <c r="S284" s="23">
        <f t="shared" si="284"/>
      </c>
      <c r="T284" s="23">
        <f t="shared" si="284"/>
      </c>
      <c r="U284" s="23">
        <f t="shared" si="284"/>
      </c>
      <c r="V284" s="83">
        <f t="shared" si="284"/>
      </c>
      <c r="W284" s="25">
        <f t="shared" si="284"/>
      </c>
      <c r="X284" s="23"/>
      <c r="Y284" s="83">
        <f t="shared" si="284"/>
      </c>
      <c r="Z284" s="25">
        <f t="shared" si="284"/>
      </c>
      <c r="AA284" s="23">
        <f t="shared" si="284"/>
      </c>
      <c r="AB284" s="23">
        <f t="shared" si="284"/>
      </c>
      <c r="AC284" s="23">
        <f t="shared" si="284"/>
      </c>
      <c r="AD284" s="23">
        <f t="shared" si="284"/>
      </c>
      <c r="AE284" s="23">
        <f t="shared" si="284"/>
      </c>
      <c r="AF284" s="23">
        <f t="shared" si="284"/>
      </c>
      <c r="AG284" s="83">
        <f t="shared" si="284"/>
      </c>
      <c r="AH284" s="254"/>
      <c r="AI284" s="139"/>
      <c r="AJ284" s="140"/>
      <c r="AK284" s="143"/>
      <c r="AL284" s="143"/>
      <c r="AM284" s="132"/>
      <c r="AN284" s="130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</row>
    <row r="285" spans="1:66" ht="30.75" customHeight="1" hidden="1">
      <c r="A285" s="133" t="s">
        <v>483</v>
      </c>
      <c r="B285" s="134"/>
      <c r="C285" s="134"/>
      <c r="D285" s="134"/>
      <c r="E285" s="135"/>
      <c r="F285" s="106" t="s">
        <v>95</v>
      </c>
      <c r="G285" s="71">
        <f>VLOOKUP(завтрак1,таб,89,FALSE)</f>
        <v>0</v>
      </c>
      <c r="H285" s="26">
        <f>VLOOKUP(завтрак2,таб,89,FALSE)</f>
        <v>0</v>
      </c>
      <c r="I285" s="26"/>
      <c r="J285" s="26">
        <f>VLOOKUP(завтрак4,таб,89,FALSE)</f>
        <v>0</v>
      </c>
      <c r="K285" s="26">
        <f>VLOOKUP(завтрак5,таб,89,FALSE)</f>
        <v>0</v>
      </c>
      <c r="L285" s="116">
        <f>VLOOKUP(завтрак6,таб,89,FALSE)</f>
        <v>0</v>
      </c>
      <c r="M285" s="71">
        <f>VLOOKUP(завтрак7,таб,89,FALSE)</f>
        <v>0</v>
      </c>
      <c r="N285" s="81">
        <f>VLOOKUP(завтрак8,таб,89,FALSE)</f>
        <v>0</v>
      </c>
      <c r="O285" s="34">
        <f>VLOOKUP(обед1,таб,89,FALSE)</f>
        <v>0</v>
      </c>
      <c r="P285" s="33">
        <f>VLOOKUP(обед2,таб,89,FALSE)</f>
        <v>0</v>
      </c>
      <c r="Q285" s="33">
        <f>VLOOKUP(обед3,таб,89,FALSE)</f>
        <v>0</v>
      </c>
      <c r="R285" s="33">
        <f>VLOOKUP(обед4,таб,89,FALSE)</f>
        <v>0</v>
      </c>
      <c r="S285" s="33">
        <f>VLOOKUP(обед5,таб,89,FALSE)</f>
        <v>0</v>
      </c>
      <c r="T285" s="33">
        <f>VLOOKUP(обед6,таб,89,FALSE)</f>
        <v>0</v>
      </c>
      <c r="U285" s="33">
        <f>VLOOKUP(обед7,таб,89,FALSE)</f>
        <v>0</v>
      </c>
      <c r="V285" s="87">
        <f>VLOOKUP(обед8,таб,89,FALSE)</f>
        <v>0</v>
      </c>
      <c r="W285" s="34">
        <f>VLOOKUP(полдник1,таб,89,FALSE)</f>
        <v>0</v>
      </c>
      <c r="X285" s="33"/>
      <c r="Y285" s="87">
        <f>VLOOKUP(полдник3,таб,89,FALSE)</f>
        <v>0</v>
      </c>
      <c r="Z285" s="34">
        <f>VLOOKUP(ужин1,таб,89,FALSE)</f>
        <v>0</v>
      </c>
      <c r="AA285" s="33">
        <f>VLOOKUP(ужин2,таб,89,FALSE)</f>
        <v>0</v>
      </c>
      <c r="AB285" s="33">
        <f>VLOOKUP(ужин3,таб,89,FALSE)</f>
        <v>0</v>
      </c>
      <c r="AC285" s="33">
        <f>VLOOKUP(ужин4,таб,89,FALSE)</f>
        <v>0</v>
      </c>
      <c r="AD285" s="33">
        <f>VLOOKUP(ужин5,таб,89,FALSE)</f>
        <v>0</v>
      </c>
      <c r="AE285" s="33">
        <f>VLOOKUP(ужин6,таб,89,FALSE)</f>
        <v>0</v>
      </c>
      <c r="AF285" s="33">
        <f>VLOOKUP(ужин7,таб,89,FALSE)</f>
        <v>0</v>
      </c>
      <c r="AG285" s="87">
        <f>VLOOKUP(ужин8,таб,89,FALSE)</f>
        <v>0</v>
      </c>
      <c r="AH285" s="253"/>
      <c r="AI285" s="139">
        <f>AK285/сред</f>
        <v>0</v>
      </c>
      <c r="AJ285" s="140"/>
      <c r="AK285" s="143">
        <f>SUM(G286:AG286)</f>
        <v>0</v>
      </c>
      <c r="AL285" s="143"/>
      <c r="AM285" s="131">
        <f>IF(AK285=0,0,Таблиця!CL267)</f>
        <v>0</v>
      </c>
      <c r="AN285" s="129">
        <f>AK285*AM285</f>
        <v>0</v>
      </c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</row>
    <row r="286" spans="1:66" ht="30.75" customHeight="1" hidden="1">
      <c r="A286" s="136"/>
      <c r="B286" s="137"/>
      <c r="C286" s="137"/>
      <c r="D286" s="137"/>
      <c r="E286" s="138"/>
      <c r="F286" s="107" t="s">
        <v>96</v>
      </c>
      <c r="G286" s="75">
        <f aca="true" t="shared" si="285" ref="G286:AG286">IF(G285=0,"",завтракл*G285/1000)</f>
      </c>
      <c r="H286" s="23">
        <f t="shared" si="285"/>
      </c>
      <c r="I286" s="23"/>
      <c r="J286" s="23">
        <f t="shared" si="285"/>
      </c>
      <c r="K286" s="23">
        <f t="shared" si="285"/>
      </c>
      <c r="L286" s="122">
        <f t="shared" si="285"/>
      </c>
      <c r="M286" s="75">
        <f t="shared" si="285"/>
      </c>
      <c r="N286" s="83">
        <f t="shared" si="285"/>
      </c>
      <c r="O286" s="75">
        <f t="shared" si="285"/>
      </c>
      <c r="P286" s="23">
        <f t="shared" si="285"/>
      </c>
      <c r="Q286" s="23">
        <f t="shared" si="285"/>
      </c>
      <c r="R286" s="23">
        <f t="shared" si="285"/>
      </c>
      <c r="S286" s="23">
        <f t="shared" si="285"/>
      </c>
      <c r="T286" s="23">
        <f t="shared" si="285"/>
      </c>
      <c r="U286" s="23">
        <f t="shared" si="285"/>
      </c>
      <c r="V286" s="83">
        <f t="shared" si="285"/>
      </c>
      <c r="W286" s="25">
        <f t="shared" si="285"/>
      </c>
      <c r="X286" s="23"/>
      <c r="Y286" s="83">
        <f t="shared" si="285"/>
      </c>
      <c r="Z286" s="25">
        <f t="shared" si="285"/>
      </c>
      <c r="AA286" s="23">
        <f t="shared" si="285"/>
      </c>
      <c r="AB286" s="23">
        <f t="shared" si="285"/>
      </c>
      <c r="AC286" s="23">
        <f t="shared" si="285"/>
      </c>
      <c r="AD286" s="23">
        <f t="shared" si="285"/>
      </c>
      <c r="AE286" s="23">
        <f t="shared" si="285"/>
      </c>
      <c r="AF286" s="23">
        <f t="shared" si="285"/>
      </c>
      <c r="AG286" s="83">
        <f t="shared" si="285"/>
      </c>
      <c r="AH286" s="254"/>
      <c r="AI286" s="139"/>
      <c r="AJ286" s="140"/>
      <c r="AK286" s="143"/>
      <c r="AL286" s="143"/>
      <c r="AM286" s="132"/>
      <c r="AN286" s="130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</row>
    <row r="287" spans="1:66" ht="30.75" customHeight="1" hidden="1">
      <c r="A287" s="133" t="s">
        <v>484</v>
      </c>
      <c r="B287" s="134"/>
      <c r="C287" s="134"/>
      <c r="D287" s="134"/>
      <c r="E287" s="135"/>
      <c r="F287" s="106" t="s">
        <v>95</v>
      </c>
      <c r="G287" s="71">
        <f>VLOOKUP(завтрак1,таб,52,FALSE)</f>
        <v>0</v>
      </c>
      <c r="H287" s="26">
        <f>VLOOKUP(завтрак2,таб,52,FALSE)</f>
        <v>0</v>
      </c>
      <c r="I287" s="26"/>
      <c r="J287" s="26">
        <f>VLOOKUP(завтрак4,таб,52,FALSE)</f>
        <v>0</v>
      </c>
      <c r="K287" s="26">
        <f>VLOOKUP(завтрак5,таб,52,FALSE)</f>
        <v>0</v>
      </c>
      <c r="L287" s="116">
        <f>VLOOKUP(завтрак6,таб,52,FALSE)</f>
        <v>0</v>
      </c>
      <c r="M287" s="71">
        <f>VLOOKUP(завтрак7,таб,52,FALSE)</f>
        <v>0</v>
      </c>
      <c r="N287" s="81">
        <f>VLOOKUP(завтрак8,таб,52,FALSE)</f>
        <v>0</v>
      </c>
      <c r="O287" s="34">
        <f>VLOOKUP(обед1,таб,52,FALSE)</f>
        <v>0</v>
      </c>
      <c r="P287" s="33">
        <f>VLOOKUP(обед2,таб,52,FALSE)</f>
        <v>0</v>
      </c>
      <c r="Q287" s="33">
        <f>VLOOKUP(обед3,таб,52,FALSE)</f>
        <v>0</v>
      </c>
      <c r="R287" s="33">
        <f>VLOOKUP(обед4,таб,52,FALSE)</f>
        <v>0</v>
      </c>
      <c r="S287" s="33">
        <f>VLOOKUP(обед5,таб,52,FALSE)</f>
        <v>0</v>
      </c>
      <c r="T287" s="33">
        <f>VLOOKUP(обед6,таб,52,FALSE)</f>
        <v>0</v>
      </c>
      <c r="U287" s="33">
        <f>VLOOKUP(обед7,таб,52,FALSE)</f>
        <v>0</v>
      </c>
      <c r="V287" s="87">
        <f>VLOOKUP(обед8,таб,52,FALSE)</f>
        <v>0</v>
      </c>
      <c r="W287" s="34">
        <f>VLOOKUP(полдник1,таб,52,FALSE)</f>
        <v>0</v>
      </c>
      <c r="X287" s="33"/>
      <c r="Y287" s="87">
        <f>VLOOKUP(полдник3,таб,52,FALSE)</f>
        <v>0</v>
      </c>
      <c r="Z287" s="34">
        <f>VLOOKUP(ужин1,таб,52,FALSE)</f>
        <v>0</v>
      </c>
      <c r="AA287" s="33">
        <f>VLOOKUP(ужин2,таб,52,FALSE)</f>
        <v>0</v>
      </c>
      <c r="AB287" s="33">
        <f>VLOOKUP(ужин3,таб,52,FALSE)</f>
        <v>0</v>
      </c>
      <c r="AC287" s="33">
        <f>VLOOKUP(ужин4,таб,52,FALSE)</f>
        <v>0</v>
      </c>
      <c r="AD287" s="33">
        <f>VLOOKUP(ужин5,таб,52,FALSE)</f>
        <v>0</v>
      </c>
      <c r="AE287" s="33">
        <f>VLOOKUP(ужин6,таб,52,FALSE)</f>
        <v>0</v>
      </c>
      <c r="AF287" s="33">
        <f>VLOOKUP(ужин7,таб,52,FALSE)</f>
        <v>0</v>
      </c>
      <c r="AG287" s="87">
        <f>VLOOKUP(ужин8,таб,52,FALSE)</f>
        <v>0</v>
      </c>
      <c r="AH287" s="253"/>
      <c r="AI287" s="139">
        <f>AK287/сред</f>
        <v>0</v>
      </c>
      <c r="AJ287" s="140"/>
      <c r="AK287" s="143">
        <f>SUM(G288:AG288)</f>
        <v>0</v>
      </c>
      <c r="AL287" s="143"/>
      <c r="AM287" s="131">
        <f>IF(AK287=0,0,Таблиця!BA267)</f>
        <v>0</v>
      </c>
      <c r="AN287" s="129">
        <f>AK287*AM287</f>
        <v>0</v>
      </c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</row>
    <row r="288" spans="1:66" ht="30.75" customHeight="1" hidden="1">
      <c r="A288" s="136"/>
      <c r="B288" s="137"/>
      <c r="C288" s="137"/>
      <c r="D288" s="137"/>
      <c r="E288" s="138"/>
      <c r="F288" s="107" t="s">
        <v>96</v>
      </c>
      <c r="G288" s="75">
        <f aca="true" t="shared" si="286" ref="G288:AG288">IF(G287=0,"",завтракл*G287/1000)</f>
      </c>
      <c r="H288" s="23">
        <f t="shared" si="286"/>
      </c>
      <c r="I288" s="23"/>
      <c r="J288" s="23">
        <f t="shared" si="286"/>
      </c>
      <c r="K288" s="23">
        <f t="shared" si="286"/>
      </c>
      <c r="L288" s="122">
        <f t="shared" si="286"/>
      </c>
      <c r="M288" s="75">
        <f t="shared" si="286"/>
      </c>
      <c r="N288" s="83">
        <f t="shared" si="286"/>
      </c>
      <c r="O288" s="75">
        <f t="shared" si="286"/>
      </c>
      <c r="P288" s="23">
        <f t="shared" si="286"/>
      </c>
      <c r="Q288" s="23">
        <f t="shared" si="286"/>
      </c>
      <c r="R288" s="23">
        <f t="shared" si="286"/>
      </c>
      <c r="S288" s="23">
        <f t="shared" si="286"/>
      </c>
      <c r="T288" s="23">
        <f t="shared" si="286"/>
      </c>
      <c r="U288" s="23">
        <f t="shared" si="286"/>
      </c>
      <c r="V288" s="83">
        <f t="shared" si="286"/>
      </c>
      <c r="W288" s="25">
        <f t="shared" si="286"/>
      </c>
      <c r="X288" s="23"/>
      <c r="Y288" s="83">
        <f t="shared" si="286"/>
      </c>
      <c r="Z288" s="25">
        <f t="shared" si="286"/>
      </c>
      <c r="AA288" s="23">
        <f t="shared" si="286"/>
      </c>
      <c r="AB288" s="23">
        <f t="shared" si="286"/>
      </c>
      <c r="AC288" s="23">
        <f t="shared" si="286"/>
      </c>
      <c r="AD288" s="23">
        <f t="shared" si="286"/>
      </c>
      <c r="AE288" s="23">
        <f t="shared" si="286"/>
      </c>
      <c r="AF288" s="23">
        <f t="shared" si="286"/>
      </c>
      <c r="AG288" s="83">
        <f t="shared" si="286"/>
      </c>
      <c r="AH288" s="254"/>
      <c r="AI288" s="139"/>
      <c r="AJ288" s="140"/>
      <c r="AK288" s="143"/>
      <c r="AL288" s="143"/>
      <c r="AM288" s="132"/>
      <c r="AN288" s="130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</row>
    <row r="289" spans="1:66" ht="30.75" customHeight="1">
      <c r="A289" s="133" t="s">
        <v>548</v>
      </c>
      <c r="B289" s="134"/>
      <c r="C289" s="134"/>
      <c r="D289" s="134"/>
      <c r="E289" s="135"/>
      <c r="F289" s="106" t="s">
        <v>95</v>
      </c>
      <c r="G289" s="71">
        <f>VLOOKUP(завтрак1,таб,5,FALSE)</f>
        <v>0</v>
      </c>
      <c r="H289" s="26">
        <f>VLOOKUP(завтрак2,таб,5,FALSE)</f>
        <v>0</v>
      </c>
      <c r="I289" s="26">
        <v>50</v>
      </c>
      <c r="J289" s="26">
        <f>VLOOKUP(завтрак4,таб,5,FALSE)</f>
        <v>0</v>
      </c>
      <c r="K289" s="26">
        <f>VLOOKUP(завтрак5,таб,5,FALSE)</f>
        <v>0</v>
      </c>
      <c r="L289" s="116">
        <f>VLOOKUP(завтрак6,таб,5,FALSE)</f>
        <v>0</v>
      </c>
      <c r="M289" s="71">
        <f>VLOOKUP(завтрак7,таб,5,FALSE)</f>
        <v>0</v>
      </c>
      <c r="N289" s="81">
        <f>VLOOKUP(завтрак8,таб,5,FALSE)</f>
        <v>0</v>
      </c>
      <c r="O289" s="34">
        <f>VLOOKUP(обед1,таб,5,FALSE)</f>
        <v>0</v>
      </c>
      <c r="P289" s="33">
        <f>VLOOKUP(обед2,таб,5,FALSE)</f>
        <v>0</v>
      </c>
      <c r="Q289" s="33">
        <f>VLOOKUP(обед3,таб,5,FALSE)</f>
        <v>0</v>
      </c>
      <c r="R289" s="33">
        <f>VLOOKUP(обед4,таб,5,FALSE)</f>
        <v>0</v>
      </c>
      <c r="S289" s="33">
        <f>VLOOKUP(обед5,таб,5,FALSE)</f>
        <v>0</v>
      </c>
      <c r="T289" s="33">
        <f>VLOOKUP(обед6,таб,5,FALSE)</f>
        <v>0</v>
      </c>
      <c r="U289" s="33">
        <f>VLOOKUP(обед7,таб,5,FALSE)</f>
        <v>0</v>
      </c>
      <c r="V289" s="87">
        <f>VLOOKUP(обед8,таб,5,FALSE)</f>
        <v>0</v>
      </c>
      <c r="W289" s="34">
        <f>VLOOKUP(полдник1,таб,5,FALSE)</f>
        <v>0</v>
      </c>
      <c r="X289" s="33"/>
      <c r="Y289" s="87">
        <f>VLOOKUP(полдник3,таб,5,FALSE)</f>
        <v>0</v>
      </c>
      <c r="Z289" s="34">
        <f>VLOOKUP(ужин1,таб,5,FALSE)</f>
        <v>0</v>
      </c>
      <c r="AA289" s="33">
        <f>VLOOKUP(ужин2,таб,5,FALSE)</f>
        <v>0</v>
      </c>
      <c r="AB289" s="33">
        <f>VLOOKUP(ужин3,таб,5,FALSE)</f>
        <v>0</v>
      </c>
      <c r="AC289" s="33">
        <f>VLOOKUP(ужин4,таб,5,FALSE)</f>
        <v>0</v>
      </c>
      <c r="AD289" s="33">
        <f>VLOOKUP(ужин5,таб,5,FALSE)</f>
        <v>0</v>
      </c>
      <c r="AE289" s="33">
        <f>VLOOKUP(ужин6,таб,5,FALSE)</f>
        <v>0</v>
      </c>
      <c r="AF289" s="33">
        <f>VLOOKUP(ужин7,таб,5,FALSE)</f>
        <v>0</v>
      </c>
      <c r="AG289" s="87">
        <f>VLOOKUP(ужин8,таб,5,FALSE)</f>
        <v>0</v>
      </c>
      <c r="AH289" s="253"/>
      <c r="AI289" s="139">
        <f>AK289/сред</f>
        <v>0.05</v>
      </c>
      <c r="AJ289" s="140"/>
      <c r="AK289" s="143">
        <f>SUM(G290:AG290)</f>
        <v>1</v>
      </c>
      <c r="AL289" s="143"/>
      <c r="AM289" s="131">
        <v>60</v>
      </c>
      <c r="AN289" s="129">
        <f>AK289*AM289</f>
        <v>60</v>
      </c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</row>
    <row r="290" spans="1:66" ht="30.75" customHeight="1">
      <c r="A290" s="136"/>
      <c r="B290" s="137"/>
      <c r="C290" s="137"/>
      <c r="D290" s="137"/>
      <c r="E290" s="138"/>
      <c r="F290" s="107" t="s">
        <v>96</v>
      </c>
      <c r="G290" s="75">
        <f aca="true" t="shared" si="287" ref="G290:AG290">IF(G289=0,"",завтракл*G289/1000)</f>
      </c>
      <c r="H290" s="23">
        <f t="shared" si="287"/>
      </c>
      <c r="I290" s="23">
        <f t="shared" si="287"/>
        <v>1</v>
      </c>
      <c r="J290" s="23">
        <f t="shared" si="287"/>
      </c>
      <c r="K290" s="23">
        <f t="shared" si="287"/>
      </c>
      <c r="L290" s="122">
        <f t="shared" si="287"/>
      </c>
      <c r="M290" s="75">
        <f t="shared" si="287"/>
      </c>
      <c r="N290" s="83">
        <f t="shared" si="287"/>
      </c>
      <c r="O290" s="75">
        <f t="shared" si="287"/>
      </c>
      <c r="P290" s="23">
        <f t="shared" si="287"/>
      </c>
      <c r="Q290" s="23">
        <f t="shared" si="287"/>
      </c>
      <c r="R290" s="23">
        <f t="shared" si="287"/>
      </c>
      <c r="S290" s="23">
        <f t="shared" si="287"/>
      </c>
      <c r="T290" s="23">
        <f t="shared" si="287"/>
      </c>
      <c r="U290" s="23">
        <f t="shared" si="287"/>
      </c>
      <c r="V290" s="83">
        <f t="shared" si="287"/>
      </c>
      <c r="W290" s="25">
        <f t="shared" si="287"/>
      </c>
      <c r="X290" s="23"/>
      <c r="Y290" s="83">
        <f t="shared" si="287"/>
      </c>
      <c r="Z290" s="25">
        <f t="shared" si="287"/>
      </c>
      <c r="AA290" s="23">
        <f t="shared" si="287"/>
      </c>
      <c r="AB290" s="23">
        <f t="shared" si="287"/>
      </c>
      <c r="AC290" s="23">
        <f t="shared" si="287"/>
      </c>
      <c r="AD290" s="23">
        <f t="shared" si="287"/>
      </c>
      <c r="AE290" s="23">
        <f t="shared" si="287"/>
      </c>
      <c r="AF290" s="23">
        <f t="shared" si="287"/>
      </c>
      <c r="AG290" s="83">
        <f t="shared" si="287"/>
      </c>
      <c r="AH290" s="254"/>
      <c r="AI290" s="139"/>
      <c r="AJ290" s="140"/>
      <c r="AK290" s="143"/>
      <c r="AL290" s="143"/>
      <c r="AM290" s="132"/>
      <c r="AN290" s="130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</row>
    <row r="291" spans="1:66" ht="30.75" customHeight="1" hidden="1">
      <c r="A291" s="133"/>
      <c r="B291" s="134"/>
      <c r="C291" s="134"/>
      <c r="D291" s="134"/>
      <c r="E291" s="135"/>
      <c r="F291" s="106" t="s">
        <v>95</v>
      </c>
      <c r="G291" s="71">
        <f>VLOOKUP(завтрак1,таб,5,FALSE)</f>
        <v>0</v>
      </c>
      <c r="H291" s="26">
        <f>VLOOKUP(завтрак2,таб,5,FALSE)</f>
        <v>0</v>
      </c>
      <c r="I291" s="26"/>
      <c r="J291" s="26">
        <f>VLOOKUP(завтрак4,таб,5,FALSE)</f>
        <v>0</v>
      </c>
      <c r="K291" s="26">
        <f>VLOOKUP(завтрак5,таб,5,FALSE)</f>
        <v>0</v>
      </c>
      <c r="L291" s="116">
        <f>VLOOKUP(завтрак6,таб,5,FALSE)</f>
        <v>0</v>
      </c>
      <c r="M291" s="71">
        <f>VLOOKUP(завтрак7,таб,5,FALSE)</f>
        <v>0</v>
      </c>
      <c r="N291" s="81">
        <f>VLOOKUP(завтрак8,таб,5,FALSE)</f>
        <v>0</v>
      </c>
      <c r="O291" s="34">
        <f>VLOOKUP(обед1,таб,5,FALSE)</f>
        <v>0</v>
      </c>
      <c r="P291" s="33">
        <f>VLOOKUP(обед2,таб,5,FALSE)</f>
        <v>0</v>
      </c>
      <c r="Q291" s="33">
        <f>VLOOKUP(обед3,таб,5,FALSE)</f>
        <v>0</v>
      </c>
      <c r="R291" s="33">
        <f>VLOOKUP(обед4,таб,5,FALSE)</f>
        <v>0</v>
      </c>
      <c r="S291" s="33">
        <f>VLOOKUP(обед5,таб,5,FALSE)</f>
        <v>0</v>
      </c>
      <c r="T291" s="33">
        <f>VLOOKUP(обед6,таб,5,FALSE)</f>
        <v>0</v>
      </c>
      <c r="U291" s="33">
        <f>VLOOKUP(обед7,таб,5,FALSE)</f>
        <v>0</v>
      </c>
      <c r="V291" s="87">
        <f>VLOOKUP(обед8,таб,5,FALSE)</f>
        <v>0</v>
      </c>
      <c r="W291" s="34">
        <f>VLOOKUP(полдник1,таб,5,FALSE)</f>
        <v>0</v>
      </c>
      <c r="X291" s="33"/>
      <c r="Y291" s="87">
        <f>VLOOKUP(полдник3,таб,5,FALSE)</f>
        <v>0</v>
      </c>
      <c r="Z291" s="34">
        <f>VLOOKUP(ужин1,таб,5,FALSE)</f>
        <v>0</v>
      </c>
      <c r="AA291" s="33">
        <f>VLOOKUP(ужин2,таб,5,FALSE)</f>
        <v>0</v>
      </c>
      <c r="AB291" s="33">
        <f>VLOOKUP(ужин3,таб,5,FALSE)</f>
        <v>0</v>
      </c>
      <c r="AC291" s="33">
        <f>VLOOKUP(ужин4,таб,5,FALSE)</f>
        <v>0</v>
      </c>
      <c r="AD291" s="33">
        <f>VLOOKUP(ужин5,таб,5,FALSE)</f>
        <v>0</v>
      </c>
      <c r="AE291" s="33">
        <f>VLOOKUP(ужин6,таб,5,FALSE)</f>
        <v>0</v>
      </c>
      <c r="AF291" s="33">
        <f>VLOOKUP(ужин7,таб,5,FALSE)</f>
        <v>0</v>
      </c>
      <c r="AG291" s="87">
        <f>VLOOKUP(ужин8,таб,5,FALSE)</f>
        <v>0</v>
      </c>
      <c r="AH291" s="253"/>
      <c r="AI291" s="139">
        <f>AK291/сред</f>
        <v>0</v>
      </c>
      <c r="AJ291" s="140"/>
      <c r="AK291" s="143">
        <f>SUM(G292:AG292)</f>
        <v>0</v>
      </c>
      <c r="AL291" s="143"/>
      <c r="AM291" s="131">
        <f>IF(AK291=0,0,Таблиця!BT383)</f>
        <v>0</v>
      </c>
      <c r="AN291" s="129">
        <f>AK291*AM291</f>
        <v>0</v>
      </c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</row>
    <row r="292" spans="1:66" ht="30.75" customHeight="1" hidden="1">
      <c r="A292" s="136"/>
      <c r="B292" s="137"/>
      <c r="C292" s="137"/>
      <c r="D292" s="137"/>
      <c r="E292" s="138"/>
      <c r="F292" s="107" t="s">
        <v>96</v>
      </c>
      <c r="G292" s="75">
        <f aca="true" t="shared" si="288" ref="G292:AG292">IF(G291=0,"",завтракл*G291/1000)</f>
      </c>
      <c r="H292" s="23">
        <f t="shared" si="288"/>
      </c>
      <c r="I292" s="23"/>
      <c r="J292" s="23">
        <f t="shared" si="288"/>
      </c>
      <c r="K292" s="23">
        <f t="shared" si="288"/>
      </c>
      <c r="L292" s="122">
        <f t="shared" si="288"/>
      </c>
      <c r="M292" s="75">
        <f t="shared" si="288"/>
      </c>
      <c r="N292" s="83">
        <f t="shared" si="288"/>
      </c>
      <c r="O292" s="75">
        <f t="shared" si="288"/>
      </c>
      <c r="P292" s="23">
        <f t="shared" si="288"/>
      </c>
      <c r="Q292" s="23">
        <f t="shared" si="288"/>
      </c>
      <c r="R292" s="23">
        <f t="shared" si="288"/>
      </c>
      <c r="S292" s="23">
        <f t="shared" si="288"/>
      </c>
      <c r="T292" s="23">
        <f t="shared" si="288"/>
      </c>
      <c r="U292" s="23">
        <f t="shared" si="288"/>
      </c>
      <c r="V292" s="83">
        <f t="shared" si="288"/>
      </c>
      <c r="W292" s="25">
        <f t="shared" si="288"/>
      </c>
      <c r="X292" s="23"/>
      <c r="Y292" s="83">
        <f t="shared" si="288"/>
      </c>
      <c r="Z292" s="25">
        <f t="shared" si="288"/>
      </c>
      <c r="AA292" s="23">
        <f t="shared" si="288"/>
      </c>
      <c r="AB292" s="23">
        <f t="shared" si="288"/>
      </c>
      <c r="AC292" s="23">
        <f t="shared" si="288"/>
      </c>
      <c r="AD292" s="23">
        <f t="shared" si="288"/>
      </c>
      <c r="AE292" s="23">
        <f t="shared" si="288"/>
      </c>
      <c r="AF292" s="23">
        <f t="shared" si="288"/>
      </c>
      <c r="AG292" s="83">
        <f t="shared" si="288"/>
      </c>
      <c r="AH292" s="254"/>
      <c r="AI292" s="139"/>
      <c r="AJ292" s="140"/>
      <c r="AK292" s="143"/>
      <c r="AL292" s="143"/>
      <c r="AM292" s="132"/>
      <c r="AN292" s="130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</row>
    <row r="293" spans="1:66" ht="30.75" customHeight="1" hidden="1">
      <c r="A293" s="133"/>
      <c r="B293" s="134"/>
      <c r="C293" s="134"/>
      <c r="D293" s="134"/>
      <c r="E293" s="135"/>
      <c r="F293" s="106" t="s">
        <v>95</v>
      </c>
      <c r="G293" s="71">
        <f>VLOOKUP(завтрак1,таб,5,FALSE)</f>
        <v>0</v>
      </c>
      <c r="H293" s="26">
        <f>VLOOKUP(завтрак2,таб,5,FALSE)</f>
        <v>0</v>
      </c>
      <c r="I293" s="26"/>
      <c r="J293" s="26">
        <f>VLOOKUP(завтрак4,таб,5,FALSE)</f>
        <v>0</v>
      </c>
      <c r="K293" s="26">
        <f>VLOOKUP(завтрак5,таб,5,FALSE)</f>
        <v>0</v>
      </c>
      <c r="L293" s="116">
        <f>VLOOKUP(завтрак6,таб,5,FALSE)</f>
        <v>0</v>
      </c>
      <c r="M293" s="71">
        <f>VLOOKUP(завтрак7,таб,5,FALSE)</f>
        <v>0</v>
      </c>
      <c r="N293" s="81">
        <f>VLOOKUP(завтрак8,таб,5,FALSE)</f>
        <v>0</v>
      </c>
      <c r="O293" s="34">
        <f>VLOOKUP(обед1,таб,5,FALSE)</f>
        <v>0</v>
      </c>
      <c r="P293" s="33">
        <f>VLOOKUP(обед2,таб,5,FALSE)</f>
        <v>0</v>
      </c>
      <c r="Q293" s="33">
        <f>VLOOKUP(обед3,таб,5,FALSE)</f>
        <v>0</v>
      </c>
      <c r="R293" s="33">
        <f>VLOOKUP(обед4,таб,5,FALSE)</f>
        <v>0</v>
      </c>
      <c r="S293" s="33">
        <f>VLOOKUP(обед5,таб,5,FALSE)</f>
        <v>0</v>
      </c>
      <c r="T293" s="33">
        <f>VLOOKUP(обед6,таб,5,FALSE)</f>
        <v>0</v>
      </c>
      <c r="U293" s="33">
        <f>VLOOKUP(обед7,таб,5,FALSE)</f>
        <v>0</v>
      </c>
      <c r="V293" s="87">
        <f>VLOOKUP(обед8,таб,5,FALSE)</f>
        <v>0</v>
      </c>
      <c r="W293" s="34">
        <f>VLOOKUP(полдник1,таб,5,FALSE)</f>
        <v>0</v>
      </c>
      <c r="X293" s="33"/>
      <c r="Y293" s="87">
        <f>VLOOKUP(полдник3,таб,5,FALSE)</f>
        <v>0</v>
      </c>
      <c r="Z293" s="34">
        <f>VLOOKUP(ужин1,таб,5,FALSE)</f>
        <v>0</v>
      </c>
      <c r="AA293" s="33">
        <f>VLOOKUP(ужин2,таб,5,FALSE)</f>
        <v>0</v>
      </c>
      <c r="AB293" s="33">
        <f>VLOOKUP(ужин3,таб,5,FALSE)</f>
        <v>0</v>
      </c>
      <c r="AC293" s="33">
        <f>VLOOKUP(ужин4,таб,5,FALSE)</f>
        <v>0</v>
      </c>
      <c r="AD293" s="33">
        <f>VLOOKUP(ужин5,таб,5,FALSE)</f>
        <v>0</v>
      </c>
      <c r="AE293" s="33">
        <f>VLOOKUP(ужин6,таб,5,FALSE)</f>
        <v>0</v>
      </c>
      <c r="AF293" s="33">
        <f>VLOOKUP(ужин7,таб,5,FALSE)</f>
        <v>0</v>
      </c>
      <c r="AG293" s="87">
        <f>VLOOKUP(ужин8,таб,5,FALSE)</f>
        <v>0</v>
      </c>
      <c r="AH293" s="253"/>
      <c r="AI293" s="139">
        <f>AK293/сред</f>
        <v>0</v>
      </c>
      <c r="AJ293" s="140"/>
      <c r="AK293" s="143">
        <f>SUM(G294:AG294)</f>
        <v>0</v>
      </c>
      <c r="AL293" s="143"/>
      <c r="AM293" s="131">
        <f>IF(AK293=0,0,Таблиця!BT385)</f>
        <v>0</v>
      </c>
      <c r="AN293" s="129">
        <f>AK293*AM293</f>
        <v>0</v>
      </c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</row>
    <row r="294" spans="1:66" ht="30.75" customHeight="1" hidden="1">
      <c r="A294" s="136"/>
      <c r="B294" s="137"/>
      <c r="C294" s="137"/>
      <c r="D294" s="137"/>
      <c r="E294" s="138"/>
      <c r="F294" s="107" t="s">
        <v>96</v>
      </c>
      <c r="G294" s="75">
        <f aca="true" t="shared" si="289" ref="G294:AG294">IF(G293=0,"",завтракл*G293/1000)</f>
      </c>
      <c r="H294" s="23">
        <f t="shared" si="289"/>
      </c>
      <c r="I294" s="23"/>
      <c r="J294" s="23">
        <f t="shared" si="289"/>
      </c>
      <c r="K294" s="23">
        <f t="shared" si="289"/>
      </c>
      <c r="L294" s="122">
        <f t="shared" si="289"/>
      </c>
      <c r="M294" s="75">
        <f t="shared" si="289"/>
      </c>
      <c r="N294" s="83">
        <f t="shared" si="289"/>
      </c>
      <c r="O294" s="75">
        <f t="shared" si="289"/>
      </c>
      <c r="P294" s="23">
        <f t="shared" si="289"/>
      </c>
      <c r="Q294" s="23">
        <f t="shared" si="289"/>
      </c>
      <c r="R294" s="23">
        <f t="shared" si="289"/>
      </c>
      <c r="S294" s="23">
        <f t="shared" si="289"/>
      </c>
      <c r="T294" s="23">
        <f t="shared" si="289"/>
      </c>
      <c r="U294" s="23">
        <f t="shared" si="289"/>
      </c>
      <c r="V294" s="83">
        <f t="shared" si="289"/>
      </c>
      <c r="W294" s="25">
        <f t="shared" si="289"/>
      </c>
      <c r="X294" s="23"/>
      <c r="Y294" s="83">
        <f t="shared" si="289"/>
      </c>
      <c r="Z294" s="25">
        <f t="shared" si="289"/>
      </c>
      <c r="AA294" s="23">
        <f t="shared" si="289"/>
      </c>
      <c r="AB294" s="23">
        <f t="shared" si="289"/>
      </c>
      <c r="AC294" s="23">
        <f t="shared" si="289"/>
      </c>
      <c r="AD294" s="23">
        <f t="shared" si="289"/>
      </c>
      <c r="AE294" s="23">
        <f t="shared" si="289"/>
      </c>
      <c r="AF294" s="23">
        <f t="shared" si="289"/>
      </c>
      <c r="AG294" s="83">
        <f t="shared" si="289"/>
      </c>
      <c r="AH294" s="254"/>
      <c r="AI294" s="139"/>
      <c r="AJ294" s="140"/>
      <c r="AK294" s="143"/>
      <c r="AL294" s="143"/>
      <c r="AM294" s="132"/>
      <c r="AN294" s="130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</row>
    <row r="295" spans="1:66" ht="30.75" customHeight="1" hidden="1">
      <c r="A295" s="133"/>
      <c r="B295" s="134"/>
      <c r="C295" s="134"/>
      <c r="D295" s="134"/>
      <c r="E295" s="135"/>
      <c r="F295" s="106" t="s">
        <v>95</v>
      </c>
      <c r="G295" s="71">
        <f>VLOOKUP(завтрак1,таб,5,FALSE)</f>
        <v>0</v>
      </c>
      <c r="H295" s="26">
        <f>VLOOKUP(завтрак2,таб,5,FALSE)</f>
        <v>0</v>
      </c>
      <c r="I295" s="26"/>
      <c r="J295" s="26">
        <f>VLOOKUP(завтрак4,таб,5,FALSE)</f>
        <v>0</v>
      </c>
      <c r="K295" s="26">
        <f>VLOOKUP(завтрак5,таб,5,FALSE)</f>
        <v>0</v>
      </c>
      <c r="L295" s="116">
        <f>VLOOKUP(завтрак6,таб,5,FALSE)</f>
        <v>0</v>
      </c>
      <c r="M295" s="71">
        <f>VLOOKUP(завтрак7,таб,5,FALSE)</f>
        <v>0</v>
      </c>
      <c r="N295" s="81">
        <f>VLOOKUP(завтрак8,таб,5,FALSE)</f>
        <v>0</v>
      </c>
      <c r="O295" s="34">
        <f>VLOOKUP(обед1,таб,5,FALSE)</f>
        <v>0</v>
      </c>
      <c r="P295" s="33">
        <f>VLOOKUP(обед2,таб,5,FALSE)</f>
        <v>0</v>
      </c>
      <c r="Q295" s="33">
        <f>VLOOKUP(обед3,таб,5,FALSE)</f>
        <v>0</v>
      </c>
      <c r="R295" s="33">
        <f>VLOOKUP(обед4,таб,5,FALSE)</f>
        <v>0</v>
      </c>
      <c r="S295" s="33">
        <f>VLOOKUP(обед5,таб,5,FALSE)</f>
        <v>0</v>
      </c>
      <c r="T295" s="33">
        <f>VLOOKUP(обед6,таб,5,FALSE)</f>
        <v>0</v>
      </c>
      <c r="U295" s="33">
        <f>VLOOKUP(обед7,таб,5,FALSE)</f>
        <v>0</v>
      </c>
      <c r="V295" s="87">
        <f>VLOOKUP(обед8,таб,5,FALSE)</f>
        <v>0</v>
      </c>
      <c r="W295" s="34">
        <f>VLOOKUP(полдник1,таб,5,FALSE)</f>
        <v>0</v>
      </c>
      <c r="X295" s="33"/>
      <c r="Y295" s="87">
        <f>VLOOKUP(полдник3,таб,5,FALSE)</f>
        <v>0</v>
      </c>
      <c r="Z295" s="34">
        <f>VLOOKUP(ужин1,таб,5,FALSE)</f>
        <v>0</v>
      </c>
      <c r="AA295" s="33">
        <f>VLOOKUP(ужин2,таб,5,FALSE)</f>
        <v>0</v>
      </c>
      <c r="AB295" s="33">
        <f>VLOOKUP(ужин3,таб,5,FALSE)</f>
        <v>0</v>
      </c>
      <c r="AC295" s="33">
        <f>VLOOKUP(ужин4,таб,5,FALSE)</f>
        <v>0</v>
      </c>
      <c r="AD295" s="33">
        <f>VLOOKUP(ужин5,таб,5,FALSE)</f>
        <v>0</v>
      </c>
      <c r="AE295" s="33">
        <f>VLOOKUP(ужин6,таб,5,FALSE)</f>
        <v>0</v>
      </c>
      <c r="AF295" s="33">
        <f>VLOOKUP(ужин7,таб,5,FALSE)</f>
        <v>0</v>
      </c>
      <c r="AG295" s="87">
        <f>VLOOKUP(ужин8,таб,5,FALSE)</f>
        <v>0</v>
      </c>
      <c r="AH295" s="253"/>
      <c r="AI295" s="139">
        <f>AK295/сред</f>
        <v>0</v>
      </c>
      <c r="AJ295" s="140"/>
      <c r="AK295" s="143">
        <f>SUM(G296:AG296)</f>
        <v>0</v>
      </c>
      <c r="AL295" s="143"/>
      <c r="AM295" s="131">
        <f>IF(AK295=0,0,Таблиця!BT387)</f>
        <v>0</v>
      </c>
      <c r="AN295" s="129">
        <f>AK295*AM295</f>
        <v>0</v>
      </c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</row>
    <row r="296" spans="1:66" ht="30.75" customHeight="1" hidden="1">
      <c r="A296" s="136"/>
      <c r="B296" s="137"/>
      <c r="C296" s="137"/>
      <c r="D296" s="137"/>
      <c r="E296" s="138"/>
      <c r="F296" s="107" t="s">
        <v>96</v>
      </c>
      <c r="G296" s="75">
        <f aca="true" t="shared" si="290" ref="G296:AG296">IF(G295=0,"",завтракл*G295/1000)</f>
      </c>
      <c r="H296" s="23">
        <f t="shared" si="290"/>
      </c>
      <c r="I296" s="23"/>
      <c r="J296" s="23">
        <f t="shared" si="290"/>
      </c>
      <c r="K296" s="23">
        <f t="shared" si="290"/>
      </c>
      <c r="L296" s="122">
        <f t="shared" si="290"/>
      </c>
      <c r="M296" s="75">
        <f t="shared" si="290"/>
      </c>
      <c r="N296" s="83">
        <f t="shared" si="290"/>
      </c>
      <c r="O296" s="75">
        <f t="shared" si="290"/>
      </c>
      <c r="P296" s="23">
        <f t="shared" si="290"/>
      </c>
      <c r="Q296" s="23">
        <f t="shared" si="290"/>
      </c>
      <c r="R296" s="23">
        <f t="shared" si="290"/>
      </c>
      <c r="S296" s="23">
        <f t="shared" si="290"/>
      </c>
      <c r="T296" s="23">
        <f t="shared" si="290"/>
      </c>
      <c r="U296" s="23">
        <f t="shared" si="290"/>
      </c>
      <c r="V296" s="83">
        <f t="shared" si="290"/>
      </c>
      <c r="W296" s="25">
        <f t="shared" si="290"/>
      </c>
      <c r="X296" s="23"/>
      <c r="Y296" s="83">
        <f t="shared" si="290"/>
      </c>
      <c r="Z296" s="25">
        <f t="shared" si="290"/>
      </c>
      <c r="AA296" s="23">
        <f t="shared" si="290"/>
      </c>
      <c r="AB296" s="23">
        <f t="shared" si="290"/>
      </c>
      <c r="AC296" s="23">
        <f t="shared" si="290"/>
      </c>
      <c r="AD296" s="23">
        <f t="shared" si="290"/>
      </c>
      <c r="AE296" s="23">
        <f t="shared" si="290"/>
      </c>
      <c r="AF296" s="23">
        <f t="shared" si="290"/>
      </c>
      <c r="AG296" s="83">
        <f t="shared" si="290"/>
      </c>
      <c r="AH296" s="254"/>
      <c r="AI296" s="139"/>
      <c r="AJ296" s="140"/>
      <c r="AK296" s="143"/>
      <c r="AL296" s="143"/>
      <c r="AM296" s="132"/>
      <c r="AN296" s="130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</row>
    <row r="297" spans="1:66" ht="30.75" customHeight="1" hidden="1">
      <c r="A297" s="133"/>
      <c r="B297" s="134"/>
      <c r="C297" s="134"/>
      <c r="D297" s="134"/>
      <c r="E297" s="135"/>
      <c r="F297" s="106" t="s">
        <v>95</v>
      </c>
      <c r="G297" s="71">
        <f>VLOOKUP(завтрак1,таб,5,FALSE)</f>
        <v>0</v>
      </c>
      <c r="H297" s="26">
        <f>VLOOKUP(завтрак2,таб,5,FALSE)</f>
        <v>0</v>
      </c>
      <c r="I297" s="26"/>
      <c r="J297" s="26">
        <f>VLOOKUP(завтрак4,таб,5,FALSE)</f>
        <v>0</v>
      </c>
      <c r="K297" s="26">
        <f>VLOOKUP(завтрак5,таб,5,FALSE)</f>
        <v>0</v>
      </c>
      <c r="L297" s="116">
        <f>VLOOKUP(завтрак6,таб,5,FALSE)</f>
        <v>0</v>
      </c>
      <c r="M297" s="71">
        <f>VLOOKUP(завтрак7,таб,5,FALSE)</f>
        <v>0</v>
      </c>
      <c r="N297" s="81">
        <f>VLOOKUP(завтрак8,таб,5,FALSE)</f>
        <v>0</v>
      </c>
      <c r="O297" s="34">
        <f>VLOOKUP(обед1,таб,5,FALSE)</f>
        <v>0</v>
      </c>
      <c r="P297" s="33">
        <f>VLOOKUP(обед2,таб,5,FALSE)</f>
        <v>0</v>
      </c>
      <c r="Q297" s="33">
        <f>VLOOKUP(обед3,таб,5,FALSE)</f>
        <v>0</v>
      </c>
      <c r="R297" s="33">
        <f>VLOOKUP(обед4,таб,5,FALSE)</f>
        <v>0</v>
      </c>
      <c r="S297" s="33">
        <f>VLOOKUP(обед5,таб,5,FALSE)</f>
        <v>0</v>
      </c>
      <c r="T297" s="33">
        <f>VLOOKUP(обед6,таб,5,FALSE)</f>
        <v>0</v>
      </c>
      <c r="U297" s="33">
        <f>VLOOKUP(обед7,таб,5,FALSE)</f>
        <v>0</v>
      </c>
      <c r="V297" s="87">
        <f>VLOOKUP(обед8,таб,5,FALSE)</f>
        <v>0</v>
      </c>
      <c r="W297" s="34">
        <f>VLOOKUP(полдник1,таб,5,FALSE)</f>
        <v>0</v>
      </c>
      <c r="X297" s="33"/>
      <c r="Y297" s="87">
        <f>VLOOKUP(полдник3,таб,5,FALSE)</f>
        <v>0</v>
      </c>
      <c r="Z297" s="34">
        <f>VLOOKUP(ужин1,таб,5,FALSE)</f>
        <v>0</v>
      </c>
      <c r="AA297" s="33">
        <f>VLOOKUP(ужин2,таб,5,FALSE)</f>
        <v>0</v>
      </c>
      <c r="AB297" s="33">
        <f>VLOOKUP(ужин3,таб,5,FALSE)</f>
        <v>0</v>
      </c>
      <c r="AC297" s="33">
        <f>VLOOKUP(ужин4,таб,5,FALSE)</f>
        <v>0</v>
      </c>
      <c r="AD297" s="33">
        <f>VLOOKUP(ужин5,таб,5,FALSE)</f>
        <v>0</v>
      </c>
      <c r="AE297" s="33">
        <f>VLOOKUP(ужин6,таб,5,FALSE)</f>
        <v>0</v>
      </c>
      <c r="AF297" s="33">
        <f>VLOOKUP(ужин7,таб,5,FALSE)</f>
        <v>0</v>
      </c>
      <c r="AG297" s="87">
        <f>VLOOKUP(ужин8,таб,5,FALSE)</f>
        <v>0</v>
      </c>
      <c r="AH297" s="253"/>
      <c r="AI297" s="139">
        <f>AK297/сред</f>
        <v>0</v>
      </c>
      <c r="AJ297" s="140"/>
      <c r="AK297" s="143">
        <f>SUM(G298:AG298)</f>
        <v>0</v>
      </c>
      <c r="AL297" s="143"/>
      <c r="AM297" s="131">
        <f>IF(AK297=0,0,Таблиця!BT389)</f>
        <v>0</v>
      </c>
      <c r="AN297" s="129">
        <f>AK297*AM297</f>
        <v>0</v>
      </c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</row>
    <row r="298" spans="1:66" ht="30.75" customHeight="1" hidden="1">
      <c r="A298" s="136"/>
      <c r="B298" s="137"/>
      <c r="C298" s="137"/>
      <c r="D298" s="137"/>
      <c r="E298" s="138"/>
      <c r="F298" s="107" t="s">
        <v>96</v>
      </c>
      <c r="G298" s="75">
        <f aca="true" t="shared" si="291" ref="G298:AG298">IF(G297=0,"",завтракл*G297/1000)</f>
      </c>
      <c r="H298" s="23">
        <f t="shared" si="291"/>
      </c>
      <c r="I298" s="23"/>
      <c r="J298" s="23">
        <f t="shared" si="291"/>
      </c>
      <c r="K298" s="23">
        <f t="shared" si="291"/>
      </c>
      <c r="L298" s="122">
        <f t="shared" si="291"/>
      </c>
      <c r="M298" s="75">
        <f t="shared" si="291"/>
      </c>
      <c r="N298" s="83">
        <f t="shared" si="291"/>
      </c>
      <c r="O298" s="75">
        <f t="shared" si="291"/>
      </c>
      <c r="P298" s="23">
        <f t="shared" si="291"/>
      </c>
      <c r="Q298" s="23">
        <f t="shared" si="291"/>
      </c>
      <c r="R298" s="23">
        <f t="shared" si="291"/>
      </c>
      <c r="S298" s="23">
        <f t="shared" si="291"/>
      </c>
      <c r="T298" s="23">
        <f t="shared" si="291"/>
      </c>
      <c r="U298" s="23">
        <f t="shared" si="291"/>
      </c>
      <c r="V298" s="83">
        <f t="shared" si="291"/>
      </c>
      <c r="W298" s="25">
        <f t="shared" si="291"/>
      </c>
      <c r="X298" s="23"/>
      <c r="Y298" s="83">
        <f t="shared" si="291"/>
      </c>
      <c r="Z298" s="25">
        <f t="shared" si="291"/>
      </c>
      <c r="AA298" s="23">
        <f t="shared" si="291"/>
      </c>
      <c r="AB298" s="23">
        <f t="shared" si="291"/>
      </c>
      <c r="AC298" s="23">
        <f t="shared" si="291"/>
      </c>
      <c r="AD298" s="23">
        <f t="shared" si="291"/>
      </c>
      <c r="AE298" s="23">
        <f t="shared" si="291"/>
      </c>
      <c r="AF298" s="23">
        <f t="shared" si="291"/>
      </c>
      <c r="AG298" s="83">
        <f t="shared" si="291"/>
      </c>
      <c r="AH298" s="254"/>
      <c r="AI298" s="139"/>
      <c r="AJ298" s="140"/>
      <c r="AK298" s="143"/>
      <c r="AL298" s="143"/>
      <c r="AM298" s="132"/>
      <c r="AN298" s="130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</row>
    <row r="299" spans="1:66" ht="30.75" customHeight="1" hidden="1">
      <c r="A299" s="133"/>
      <c r="B299" s="134"/>
      <c r="C299" s="134"/>
      <c r="D299" s="134"/>
      <c r="E299" s="135"/>
      <c r="F299" s="106" t="s">
        <v>95</v>
      </c>
      <c r="G299" s="71">
        <f>VLOOKUP(завтрак1,таб,5,FALSE)</f>
        <v>0</v>
      </c>
      <c r="H299" s="26">
        <f>VLOOKUP(завтрак2,таб,5,FALSE)</f>
        <v>0</v>
      </c>
      <c r="I299" s="26"/>
      <c r="J299" s="26">
        <f>VLOOKUP(завтрак4,таб,5,FALSE)</f>
        <v>0</v>
      </c>
      <c r="K299" s="26">
        <f>VLOOKUP(завтрак5,таб,5,FALSE)</f>
        <v>0</v>
      </c>
      <c r="L299" s="116">
        <f>VLOOKUP(завтрак6,таб,5,FALSE)</f>
        <v>0</v>
      </c>
      <c r="M299" s="71">
        <f>VLOOKUP(завтрак7,таб,5,FALSE)</f>
        <v>0</v>
      </c>
      <c r="N299" s="81">
        <f>VLOOKUP(завтрак8,таб,5,FALSE)</f>
        <v>0</v>
      </c>
      <c r="O299" s="34">
        <f>VLOOKUP(обед1,таб,5,FALSE)</f>
        <v>0</v>
      </c>
      <c r="P299" s="33">
        <f>VLOOKUP(обед2,таб,5,FALSE)</f>
        <v>0</v>
      </c>
      <c r="Q299" s="33">
        <f>VLOOKUP(обед3,таб,5,FALSE)</f>
        <v>0</v>
      </c>
      <c r="R299" s="33">
        <f>VLOOKUP(обед4,таб,5,FALSE)</f>
        <v>0</v>
      </c>
      <c r="S299" s="33">
        <f>VLOOKUP(обед5,таб,5,FALSE)</f>
        <v>0</v>
      </c>
      <c r="T299" s="33">
        <f>VLOOKUP(обед6,таб,5,FALSE)</f>
        <v>0</v>
      </c>
      <c r="U299" s="33">
        <f>VLOOKUP(обед7,таб,5,FALSE)</f>
        <v>0</v>
      </c>
      <c r="V299" s="87">
        <f>VLOOKUP(обед8,таб,5,FALSE)</f>
        <v>0</v>
      </c>
      <c r="W299" s="34">
        <f>VLOOKUP(полдник1,таб,5,FALSE)</f>
        <v>0</v>
      </c>
      <c r="X299" s="33"/>
      <c r="Y299" s="87">
        <f>VLOOKUP(полдник3,таб,5,FALSE)</f>
        <v>0</v>
      </c>
      <c r="Z299" s="34">
        <f>VLOOKUP(ужин1,таб,5,FALSE)</f>
        <v>0</v>
      </c>
      <c r="AA299" s="33">
        <f>VLOOKUP(ужин2,таб,5,FALSE)</f>
        <v>0</v>
      </c>
      <c r="AB299" s="33">
        <f>VLOOKUP(ужин3,таб,5,FALSE)</f>
        <v>0</v>
      </c>
      <c r="AC299" s="33">
        <f>VLOOKUP(ужин4,таб,5,FALSE)</f>
        <v>0</v>
      </c>
      <c r="AD299" s="33">
        <f>VLOOKUP(ужин5,таб,5,FALSE)</f>
        <v>0</v>
      </c>
      <c r="AE299" s="33">
        <f>VLOOKUP(ужин6,таб,5,FALSE)</f>
        <v>0</v>
      </c>
      <c r="AF299" s="33">
        <f>VLOOKUP(ужин7,таб,5,FALSE)</f>
        <v>0</v>
      </c>
      <c r="AG299" s="87">
        <f>VLOOKUP(ужин8,таб,5,FALSE)</f>
        <v>0</v>
      </c>
      <c r="AH299" s="253"/>
      <c r="AI299" s="139">
        <f>AK299/сред</f>
        <v>0</v>
      </c>
      <c r="AJ299" s="140"/>
      <c r="AK299" s="143">
        <f>SUM(G300:AG300)</f>
        <v>0</v>
      </c>
      <c r="AL299" s="143"/>
      <c r="AM299" s="131">
        <f>IF(AK299=0,0,Таблиця!BT391)</f>
        <v>0</v>
      </c>
      <c r="AN299" s="129">
        <f>AK299*AM299</f>
        <v>0</v>
      </c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</row>
    <row r="300" spans="1:66" ht="30.75" customHeight="1" hidden="1">
      <c r="A300" s="136"/>
      <c r="B300" s="137"/>
      <c r="C300" s="137"/>
      <c r="D300" s="137"/>
      <c r="E300" s="138"/>
      <c r="F300" s="107" t="s">
        <v>96</v>
      </c>
      <c r="G300" s="75">
        <f aca="true" t="shared" si="292" ref="G300:AG300">IF(G299=0,"",завтракл*G299/1000)</f>
      </c>
      <c r="H300" s="23">
        <f t="shared" si="292"/>
      </c>
      <c r="I300" s="23"/>
      <c r="J300" s="23">
        <f t="shared" si="292"/>
      </c>
      <c r="K300" s="23">
        <f t="shared" si="292"/>
      </c>
      <c r="L300" s="122">
        <f t="shared" si="292"/>
      </c>
      <c r="M300" s="75">
        <f t="shared" si="292"/>
      </c>
      <c r="N300" s="83">
        <f t="shared" si="292"/>
      </c>
      <c r="O300" s="75">
        <f t="shared" si="292"/>
      </c>
      <c r="P300" s="23">
        <f t="shared" si="292"/>
      </c>
      <c r="Q300" s="23">
        <f t="shared" si="292"/>
      </c>
      <c r="R300" s="23">
        <f t="shared" si="292"/>
      </c>
      <c r="S300" s="23">
        <f t="shared" si="292"/>
      </c>
      <c r="T300" s="23">
        <f t="shared" si="292"/>
      </c>
      <c r="U300" s="23">
        <f t="shared" si="292"/>
      </c>
      <c r="V300" s="83">
        <f t="shared" si="292"/>
      </c>
      <c r="W300" s="25">
        <f t="shared" si="292"/>
      </c>
      <c r="X300" s="23"/>
      <c r="Y300" s="83">
        <f t="shared" si="292"/>
      </c>
      <c r="Z300" s="25">
        <f t="shared" si="292"/>
      </c>
      <c r="AA300" s="23">
        <f t="shared" si="292"/>
      </c>
      <c r="AB300" s="23">
        <f t="shared" si="292"/>
      </c>
      <c r="AC300" s="23">
        <f t="shared" si="292"/>
      </c>
      <c r="AD300" s="23">
        <f t="shared" si="292"/>
      </c>
      <c r="AE300" s="23">
        <f t="shared" si="292"/>
      </c>
      <c r="AF300" s="23">
        <f t="shared" si="292"/>
      </c>
      <c r="AG300" s="83">
        <f t="shared" si="292"/>
      </c>
      <c r="AH300" s="254"/>
      <c r="AI300" s="139"/>
      <c r="AJ300" s="140"/>
      <c r="AK300" s="143"/>
      <c r="AL300" s="143"/>
      <c r="AM300" s="132"/>
      <c r="AN300" s="130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</row>
    <row r="301" spans="1:66" ht="30.75" customHeight="1" hidden="1">
      <c r="A301" s="133"/>
      <c r="B301" s="134"/>
      <c r="C301" s="134"/>
      <c r="D301" s="134"/>
      <c r="E301" s="135"/>
      <c r="F301" s="106" t="s">
        <v>95</v>
      </c>
      <c r="G301" s="71">
        <f>VLOOKUP(завтрак1,таб,5,FALSE)</f>
        <v>0</v>
      </c>
      <c r="H301" s="26">
        <f>VLOOKUP(завтрак2,таб,5,FALSE)</f>
        <v>0</v>
      </c>
      <c r="I301" s="26"/>
      <c r="J301" s="26">
        <f>VLOOKUP(завтрак4,таб,5,FALSE)</f>
        <v>0</v>
      </c>
      <c r="K301" s="26">
        <f>VLOOKUP(завтрак5,таб,5,FALSE)</f>
        <v>0</v>
      </c>
      <c r="L301" s="116">
        <f>VLOOKUP(завтрак6,таб,5,FALSE)</f>
        <v>0</v>
      </c>
      <c r="M301" s="71">
        <f>VLOOKUP(завтрак7,таб,5,FALSE)</f>
        <v>0</v>
      </c>
      <c r="N301" s="81">
        <f>VLOOKUP(завтрак8,таб,5,FALSE)</f>
        <v>0</v>
      </c>
      <c r="O301" s="34">
        <f>VLOOKUP(обед1,таб,5,FALSE)</f>
        <v>0</v>
      </c>
      <c r="P301" s="33">
        <f>VLOOKUP(обед2,таб,5,FALSE)</f>
        <v>0</v>
      </c>
      <c r="Q301" s="33">
        <f>VLOOKUP(обед3,таб,5,FALSE)</f>
        <v>0</v>
      </c>
      <c r="R301" s="33">
        <f>VLOOKUP(обед4,таб,5,FALSE)</f>
        <v>0</v>
      </c>
      <c r="S301" s="33">
        <f>VLOOKUP(обед5,таб,5,FALSE)</f>
        <v>0</v>
      </c>
      <c r="T301" s="33">
        <f>VLOOKUP(обед6,таб,5,FALSE)</f>
        <v>0</v>
      </c>
      <c r="U301" s="33">
        <f>VLOOKUP(обед7,таб,5,FALSE)</f>
        <v>0</v>
      </c>
      <c r="V301" s="87">
        <f>VLOOKUP(обед8,таб,5,FALSE)</f>
        <v>0</v>
      </c>
      <c r="W301" s="34">
        <f>VLOOKUP(полдник1,таб,5,FALSE)</f>
        <v>0</v>
      </c>
      <c r="X301" s="33"/>
      <c r="Y301" s="87">
        <f>VLOOKUP(полдник3,таб,5,FALSE)</f>
        <v>0</v>
      </c>
      <c r="Z301" s="34">
        <f>VLOOKUP(ужин1,таб,5,FALSE)</f>
        <v>0</v>
      </c>
      <c r="AA301" s="33">
        <f>VLOOKUP(ужин2,таб,5,FALSE)</f>
        <v>0</v>
      </c>
      <c r="AB301" s="33">
        <f>VLOOKUP(ужин3,таб,5,FALSE)</f>
        <v>0</v>
      </c>
      <c r="AC301" s="33">
        <f>VLOOKUP(ужин4,таб,5,FALSE)</f>
        <v>0</v>
      </c>
      <c r="AD301" s="33">
        <f>VLOOKUP(ужин5,таб,5,FALSE)</f>
        <v>0</v>
      </c>
      <c r="AE301" s="33">
        <f>VLOOKUP(ужин6,таб,5,FALSE)</f>
        <v>0</v>
      </c>
      <c r="AF301" s="33">
        <f>VLOOKUP(ужин7,таб,5,FALSE)</f>
        <v>0</v>
      </c>
      <c r="AG301" s="87">
        <f>VLOOKUP(ужин8,таб,5,FALSE)</f>
        <v>0</v>
      </c>
      <c r="AH301" s="253"/>
      <c r="AI301" s="139">
        <f>AK301/сред</f>
        <v>0</v>
      </c>
      <c r="AJ301" s="140"/>
      <c r="AK301" s="143">
        <f>SUM(G302:AG302)</f>
        <v>0</v>
      </c>
      <c r="AL301" s="143"/>
      <c r="AM301" s="131">
        <f>IF(AK301=0,0,Таблиця!BT393)</f>
        <v>0</v>
      </c>
      <c r="AN301" s="129">
        <f>AK301*AM301</f>
        <v>0</v>
      </c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</row>
    <row r="302" spans="1:66" ht="30.75" customHeight="1" hidden="1">
      <c r="A302" s="136"/>
      <c r="B302" s="137"/>
      <c r="C302" s="137"/>
      <c r="D302" s="137"/>
      <c r="E302" s="138"/>
      <c r="F302" s="107" t="s">
        <v>96</v>
      </c>
      <c r="G302" s="75">
        <f aca="true" t="shared" si="293" ref="G302:AG302">IF(G301=0,"",завтракл*G301/1000)</f>
      </c>
      <c r="H302" s="23">
        <f t="shared" si="293"/>
      </c>
      <c r="I302" s="23"/>
      <c r="J302" s="23">
        <f t="shared" si="293"/>
      </c>
      <c r="K302" s="23">
        <f t="shared" si="293"/>
      </c>
      <c r="L302" s="122">
        <f t="shared" si="293"/>
      </c>
      <c r="M302" s="75">
        <f t="shared" si="293"/>
      </c>
      <c r="N302" s="83">
        <f t="shared" si="293"/>
      </c>
      <c r="O302" s="75">
        <f t="shared" si="293"/>
      </c>
      <c r="P302" s="23">
        <f t="shared" si="293"/>
      </c>
      <c r="Q302" s="23">
        <f t="shared" si="293"/>
      </c>
      <c r="R302" s="23">
        <f t="shared" si="293"/>
      </c>
      <c r="S302" s="23">
        <f t="shared" si="293"/>
      </c>
      <c r="T302" s="23">
        <f t="shared" si="293"/>
      </c>
      <c r="U302" s="23">
        <f t="shared" si="293"/>
      </c>
      <c r="V302" s="83">
        <f t="shared" si="293"/>
      </c>
      <c r="W302" s="25">
        <f t="shared" si="293"/>
      </c>
      <c r="X302" s="23"/>
      <c r="Y302" s="83">
        <f t="shared" si="293"/>
      </c>
      <c r="Z302" s="25">
        <f t="shared" si="293"/>
      </c>
      <c r="AA302" s="23">
        <f t="shared" si="293"/>
      </c>
      <c r="AB302" s="23">
        <f t="shared" si="293"/>
      </c>
      <c r="AC302" s="23">
        <f t="shared" si="293"/>
      </c>
      <c r="AD302" s="23">
        <f t="shared" si="293"/>
      </c>
      <c r="AE302" s="23">
        <f t="shared" si="293"/>
      </c>
      <c r="AF302" s="23">
        <f t="shared" si="293"/>
      </c>
      <c r="AG302" s="83">
        <f t="shared" si="293"/>
      </c>
      <c r="AH302" s="254"/>
      <c r="AI302" s="139"/>
      <c r="AJ302" s="140"/>
      <c r="AK302" s="143"/>
      <c r="AL302" s="143"/>
      <c r="AM302" s="132"/>
      <c r="AN302" s="130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</row>
    <row r="303" spans="1:66" ht="30.75" customHeight="1" hidden="1">
      <c r="A303" s="133"/>
      <c r="B303" s="134"/>
      <c r="C303" s="134"/>
      <c r="D303" s="134"/>
      <c r="E303" s="135"/>
      <c r="F303" s="106" t="s">
        <v>95</v>
      </c>
      <c r="G303" s="71">
        <f>VLOOKUP(завтрак1,таб,5,FALSE)</f>
        <v>0</v>
      </c>
      <c r="H303" s="26">
        <f>VLOOKUP(завтрак2,таб,5,FALSE)</f>
        <v>0</v>
      </c>
      <c r="I303" s="26"/>
      <c r="J303" s="26">
        <f>VLOOKUP(завтрак4,таб,5,FALSE)</f>
        <v>0</v>
      </c>
      <c r="K303" s="26">
        <f>VLOOKUP(завтрак5,таб,5,FALSE)</f>
        <v>0</v>
      </c>
      <c r="L303" s="116">
        <f>VLOOKUP(завтрак6,таб,5,FALSE)</f>
        <v>0</v>
      </c>
      <c r="M303" s="71">
        <f>VLOOKUP(завтрак7,таб,5,FALSE)</f>
        <v>0</v>
      </c>
      <c r="N303" s="81">
        <f>VLOOKUP(завтрак8,таб,5,FALSE)</f>
        <v>0</v>
      </c>
      <c r="O303" s="34">
        <f>VLOOKUP(обед1,таб,5,FALSE)</f>
        <v>0</v>
      </c>
      <c r="P303" s="33">
        <f>VLOOKUP(обед2,таб,5,FALSE)</f>
        <v>0</v>
      </c>
      <c r="Q303" s="33">
        <f>VLOOKUP(обед3,таб,5,FALSE)</f>
        <v>0</v>
      </c>
      <c r="R303" s="33">
        <f>VLOOKUP(обед4,таб,5,FALSE)</f>
        <v>0</v>
      </c>
      <c r="S303" s="33">
        <f>VLOOKUP(обед5,таб,5,FALSE)</f>
        <v>0</v>
      </c>
      <c r="T303" s="33">
        <f>VLOOKUP(обед6,таб,5,FALSE)</f>
        <v>0</v>
      </c>
      <c r="U303" s="33">
        <f>VLOOKUP(обед7,таб,5,FALSE)</f>
        <v>0</v>
      </c>
      <c r="V303" s="87">
        <f>VLOOKUP(обед8,таб,5,FALSE)</f>
        <v>0</v>
      </c>
      <c r="W303" s="34">
        <f>VLOOKUP(полдник1,таб,5,FALSE)</f>
        <v>0</v>
      </c>
      <c r="X303" s="33"/>
      <c r="Y303" s="87">
        <f>VLOOKUP(полдник3,таб,5,FALSE)</f>
        <v>0</v>
      </c>
      <c r="Z303" s="34">
        <f>VLOOKUP(ужин1,таб,5,FALSE)</f>
        <v>0</v>
      </c>
      <c r="AA303" s="33">
        <f>VLOOKUP(ужин2,таб,5,FALSE)</f>
        <v>0</v>
      </c>
      <c r="AB303" s="33">
        <f>VLOOKUP(ужин3,таб,5,FALSE)</f>
        <v>0</v>
      </c>
      <c r="AC303" s="33">
        <f>VLOOKUP(ужин4,таб,5,FALSE)</f>
        <v>0</v>
      </c>
      <c r="AD303" s="33">
        <f>VLOOKUP(ужин5,таб,5,FALSE)</f>
        <v>0</v>
      </c>
      <c r="AE303" s="33">
        <f>VLOOKUP(ужин6,таб,5,FALSE)</f>
        <v>0</v>
      </c>
      <c r="AF303" s="33">
        <f>VLOOKUP(ужин7,таб,5,FALSE)</f>
        <v>0</v>
      </c>
      <c r="AG303" s="87">
        <f>VLOOKUP(ужин8,таб,5,FALSE)</f>
        <v>0</v>
      </c>
      <c r="AH303" s="253"/>
      <c r="AI303" s="139">
        <f>AK303/сред</f>
        <v>0</v>
      </c>
      <c r="AJ303" s="140"/>
      <c r="AK303" s="143">
        <f>SUM(G304:AG304)</f>
        <v>0</v>
      </c>
      <c r="AL303" s="143"/>
      <c r="AM303" s="131">
        <f>IF(AK303=0,0,Таблиця!BT395)</f>
        <v>0</v>
      </c>
      <c r="AN303" s="129">
        <f>AK303*AM303</f>
        <v>0</v>
      </c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</row>
    <row r="304" spans="1:66" ht="30.75" customHeight="1" hidden="1">
      <c r="A304" s="136"/>
      <c r="B304" s="137"/>
      <c r="C304" s="137"/>
      <c r="D304" s="137"/>
      <c r="E304" s="138"/>
      <c r="F304" s="107" t="s">
        <v>96</v>
      </c>
      <c r="G304" s="75">
        <f aca="true" t="shared" si="294" ref="G304:AG304">IF(G303=0,"",завтракл*G303/1000)</f>
      </c>
      <c r="H304" s="23">
        <f t="shared" si="294"/>
      </c>
      <c r="I304" s="23"/>
      <c r="J304" s="23">
        <f t="shared" si="294"/>
      </c>
      <c r="K304" s="23">
        <f t="shared" si="294"/>
      </c>
      <c r="L304" s="122">
        <f t="shared" si="294"/>
      </c>
      <c r="M304" s="75">
        <f t="shared" si="294"/>
      </c>
      <c r="N304" s="83">
        <f t="shared" si="294"/>
      </c>
      <c r="O304" s="75">
        <f t="shared" si="294"/>
      </c>
      <c r="P304" s="23">
        <f t="shared" si="294"/>
      </c>
      <c r="Q304" s="23">
        <f t="shared" si="294"/>
      </c>
      <c r="R304" s="23">
        <f t="shared" si="294"/>
      </c>
      <c r="S304" s="23">
        <f t="shared" si="294"/>
      </c>
      <c r="T304" s="23">
        <f t="shared" si="294"/>
      </c>
      <c r="U304" s="23">
        <f t="shared" si="294"/>
      </c>
      <c r="V304" s="83">
        <f t="shared" si="294"/>
      </c>
      <c r="W304" s="25">
        <f t="shared" si="294"/>
      </c>
      <c r="X304" s="23"/>
      <c r="Y304" s="83">
        <f t="shared" si="294"/>
      </c>
      <c r="Z304" s="25">
        <f t="shared" si="294"/>
      </c>
      <c r="AA304" s="23">
        <f t="shared" si="294"/>
      </c>
      <c r="AB304" s="23">
        <f t="shared" si="294"/>
      </c>
      <c r="AC304" s="23">
        <f t="shared" si="294"/>
      </c>
      <c r="AD304" s="23">
        <f t="shared" si="294"/>
      </c>
      <c r="AE304" s="23">
        <f t="shared" si="294"/>
      </c>
      <c r="AF304" s="23">
        <f t="shared" si="294"/>
      </c>
      <c r="AG304" s="83">
        <f t="shared" si="294"/>
      </c>
      <c r="AH304" s="254"/>
      <c r="AI304" s="139"/>
      <c r="AJ304" s="140"/>
      <c r="AK304" s="143"/>
      <c r="AL304" s="143"/>
      <c r="AM304" s="132"/>
      <c r="AN304" s="130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</row>
    <row r="305" spans="1:66" ht="30.75" customHeight="1" hidden="1">
      <c r="A305" s="133"/>
      <c r="B305" s="134"/>
      <c r="C305" s="134"/>
      <c r="D305" s="134"/>
      <c r="E305" s="135"/>
      <c r="F305" s="106" t="s">
        <v>95</v>
      </c>
      <c r="G305" s="71">
        <f>VLOOKUP(завтрак1,таб,5,FALSE)</f>
        <v>0</v>
      </c>
      <c r="H305" s="26">
        <f>VLOOKUP(завтрак2,таб,5,FALSE)</f>
        <v>0</v>
      </c>
      <c r="I305" s="26"/>
      <c r="J305" s="26">
        <f>VLOOKUP(завтрак4,таб,5,FALSE)</f>
        <v>0</v>
      </c>
      <c r="K305" s="26">
        <f>VLOOKUP(завтрак5,таб,5,FALSE)</f>
        <v>0</v>
      </c>
      <c r="L305" s="116">
        <f>VLOOKUP(завтрак6,таб,5,FALSE)</f>
        <v>0</v>
      </c>
      <c r="M305" s="71">
        <f>VLOOKUP(завтрак7,таб,5,FALSE)</f>
        <v>0</v>
      </c>
      <c r="N305" s="81">
        <f>VLOOKUP(завтрак8,таб,5,FALSE)</f>
        <v>0</v>
      </c>
      <c r="O305" s="34">
        <f>VLOOKUP(обед1,таб,5,FALSE)</f>
        <v>0</v>
      </c>
      <c r="P305" s="33">
        <f>VLOOKUP(обед2,таб,5,FALSE)</f>
        <v>0</v>
      </c>
      <c r="Q305" s="33">
        <f>VLOOKUP(обед3,таб,5,FALSE)</f>
        <v>0</v>
      </c>
      <c r="R305" s="33">
        <f>VLOOKUP(обед4,таб,5,FALSE)</f>
        <v>0</v>
      </c>
      <c r="S305" s="33">
        <f>VLOOKUP(обед5,таб,5,FALSE)</f>
        <v>0</v>
      </c>
      <c r="T305" s="33">
        <f>VLOOKUP(обед6,таб,5,FALSE)</f>
        <v>0</v>
      </c>
      <c r="U305" s="33">
        <f>VLOOKUP(обед7,таб,5,FALSE)</f>
        <v>0</v>
      </c>
      <c r="V305" s="87">
        <f>VLOOKUP(обед8,таб,5,FALSE)</f>
        <v>0</v>
      </c>
      <c r="W305" s="34">
        <f>VLOOKUP(полдник1,таб,5,FALSE)</f>
        <v>0</v>
      </c>
      <c r="X305" s="33"/>
      <c r="Y305" s="87">
        <f>VLOOKUP(полдник3,таб,5,FALSE)</f>
        <v>0</v>
      </c>
      <c r="Z305" s="34">
        <f>VLOOKUP(ужин1,таб,5,FALSE)</f>
        <v>0</v>
      </c>
      <c r="AA305" s="33">
        <f>VLOOKUP(ужин2,таб,5,FALSE)</f>
        <v>0</v>
      </c>
      <c r="AB305" s="33">
        <f>VLOOKUP(ужин3,таб,5,FALSE)</f>
        <v>0</v>
      </c>
      <c r="AC305" s="33">
        <f>VLOOKUP(ужин4,таб,5,FALSE)</f>
        <v>0</v>
      </c>
      <c r="AD305" s="33">
        <f>VLOOKUP(ужин5,таб,5,FALSE)</f>
        <v>0</v>
      </c>
      <c r="AE305" s="33">
        <f>VLOOKUP(ужин6,таб,5,FALSE)</f>
        <v>0</v>
      </c>
      <c r="AF305" s="33">
        <f>VLOOKUP(ужин7,таб,5,FALSE)</f>
        <v>0</v>
      </c>
      <c r="AG305" s="87">
        <f>VLOOKUP(ужин8,таб,5,FALSE)</f>
        <v>0</v>
      </c>
      <c r="AH305" s="253"/>
      <c r="AI305" s="139">
        <f>AK305/сред</f>
        <v>0</v>
      </c>
      <c r="AJ305" s="140"/>
      <c r="AK305" s="143">
        <f>SUM(G306:AG306)</f>
        <v>0</v>
      </c>
      <c r="AL305" s="143"/>
      <c r="AM305" s="131">
        <f>IF(AK305=0,0,Таблиця!BT397)</f>
        <v>0</v>
      </c>
      <c r="AN305" s="129">
        <f>AK305*AM305</f>
        <v>0</v>
      </c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</row>
    <row r="306" spans="1:66" ht="30.75" customHeight="1" hidden="1">
      <c r="A306" s="136"/>
      <c r="B306" s="137"/>
      <c r="C306" s="137"/>
      <c r="D306" s="137"/>
      <c r="E306" s="138"/>
      <c r="F306" s="107" t="s">
        <v>96</v>
      </c>
      <c r="G306" s="75">
        <f aca="true" t="shared" si="295" ref="G306:AG306">IF(G305=0,"",завтракл*G305/1000)</f>
      </c>
      <c r="H306" s="23">
        <f t="shared" si="295"/>
      </c>
      <c r="I306" s="23"/>
      <c r="J306" s="23">
        <f t="shared" si="295"/>
      </c>
      <c r="K306" s="23">
        <f t="shared" si="295"/>
      </c>
      <c r="L306" s="122">
        <f t="shared" si="295"/>
      </c>
      <c r="M306" s="75">
        <f t="shared" si="295"/>
      </c>
      <c r="N306" s="83">
        <f t="shared" si="295"/>
      </c>
      <c r="O306" s="75">
        <f t="shared" si="295"/>
      </c>
      <c r="P306" s="23">
        <f t="shared" si="295"/>
      </c>
      <c r="Q306" s="23">
        <f t="shared" si="295"/>
      </c>
      <c r="R306" s="23">
        <f t="shared" si="295"/>
      </c>
      <c r="S306" s="23">
        <f t="shared" si="295"/>
      </c>
      <c r="T306" s="23">
        <f t="shared" si="295"/>
      </c>
      <c r="U306" s="23">
        <f t="shared" si="295"/>
      </c>
      <c r="V306" s="83">
        <f t="shared" si="295"/>
      </c>
      <c r="W306" s="25">
        <f t="shared" si="295"/>
      </c>
      <c r="X306" s="23"/>
      <c r="Y306" s="83">
        <f t="shared" si="295"/>
      </c>
      <c r="Z306" s="25">
        <f t="shared" si="295"/>
      </c>
      <c r="AA306" s="23">
        <f t="shared" si="295"/>
      </c>
      <c r="AB306" s="23">
        <f t="shared" si="295"/>
      </c>
      <c r="AC306" s="23">
        <f t="shared" si="295"/>
      </c>
      <c r="AD306" s="23">
        <f t="shared" si="295"/>
      </c>
      <c r="AE306" s="23">
        <f t="shared" si="295"/>
      </c>
      <c r="AF306" s="23">
        <f t="shared" si="295"/>
      </c>
      <c r="AG306" s="83">
        <f t="shared" si="295"/>
      </c>
      <c r="AH306" s="254"/>
      <c r="AI306" s="139"/>
      <c r="AJ306" s="140"/>
      <c r="AK306" s="143"/>
      <c r="AL306" s="143"/>
      <c r="AM306" s="132"/>
      <c r="AN306" s="130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</row>
    <row r="307" spans="1:66" ht="30.75" customHeight="1" hidden="1">
      <c r="A307" s="133"/>
      <c r="B307" s="134"/>
      <c r="C307" s="134"/>
      <c r="D307" s="134"/>
      <c r="E307" s="135"/>
      <c r="F307" s="106" t="s">
        <v>95</v>
      </c>
      <c r="G307" s="71">
        <f>VLOOKUP(завтрак1,таб,5,FALSE)</f>
        <v>0</v>
      </c>
      <c r="H307" s="26">
        <f>VLOOKUP(завтрак2,таб,5,FALSE)</f>
        <v>0</v>
      </c>
      <c r="I307" s="26"/>
      <c r="J307" s="26">
        <f>VLOOKUP(завтрак4,таб,5,FALSE)</f>
        <v>0</v>
      </c>
      <c r="K307" s="26">
        <f>VLOOKUP(завтрак5,таб,5,FALSE)</f>
        <v>0</v>
      </c>
      <c r="L307" s="116">
        <f>VLOOKUP(завтрак6,таб,5,FALSE)</f>
        <v>0</v>
      </c>
      <c r="M307" s="71">
        <f>VLOOKUP(завтрак7,таб,5,FALSE)</f>
        <v>0</v>
      </c>
      <c r="N307" s="81">
        <f>VLOOKUP(завтрак8,таб,5,FALSE)</f>
        <v>0</v>
      </c>
      <c r="O307" s="34">
        <f>VLOOKUP(обед1,таб,5,FALSE)</f>
        <v>0</v>
      </c>
      <c r="P307" s="33">
        <f>VLOOKUP(обед2,таб,5,FALSE)</f>
        <v>0</v>
      </c>
      <c r="Q307" s="33">
        <f>VLOOKUP(обед3,таб,5,FALSE)</f>
        <v>0</v>
      </c>
      <c r="R307" s="33">
        <f>VLOOKUP(обед4,таб,5,FALSE)</f>
        <v>0</v>
      </c>
      <c r="S307" s="33">
        <f>VLOOKUP(обед5,таб,5,FALSE)</f>
        <v>0</v>
      </c>
      <c r="T307" s="33">
        <f>VLOOKUP(обед6,таб,5,FALSE)</f>
        <v>0</v>
      </c>
      <c r="U307" s="33">
        <f>VLOOKUP(обед7,таб,5,FALSE)</f>
        <v>0</v>
      </c>
      <c r="V307" s="87">
        <f>VLOOKUP(обед8,таб,5,FALSE)</f>
        <v>0</v>
      </c>
      <c r="W307" s="34">
        <f>VLOOKUP(полдник1,таб,5,FALSE)</f>
        <v>0</v>
      </c>
      <c r="X307" s="33"/>
      <c r="Y307" s="87">
        <f>VLOOKUP(полдник3,таб,5,FALSE)</f>
        <v>0</v>
      </c>
      <c r="Z307" s="34">
        <f>VLOOKUP(ужин1,таб,5,FALSE)</f>
        <v>0</v>
      </c>
      <c r="AA307" s="33">
        <f>VLOOKUP(ужин2,таб,5,FALSE)</f>
        <v>0</v>
      </c>
      <c r="AB307" s="33">
        <f>VLOOKUP(ужин3,таб,5,FALSE)</f>
        <v>0</v>
      </c>
      <c r="AC307" s="33">
        <f>VLOOKUP(ужин4,таб,5,FALSE)</f>
        <v>0</v>
      </c>
      <c r="AD307" s="33">
        <f>VLOOKUP(ужин5,таб,5,FALSE)</f>
        <v>0</v>
      </c>
      <c r="AE307" s="33">
        <f>VLOOKUP(ужин6,таб,5,FALSE)</f>
        <v>0</v>
      </c>
      <c r="AF307" s="33">
        <f>VLOOKUP(ужин7,таб,5,FALSE)</f>
        <v>0</v>
      </c>
      <c r="AG307" s="87">
        <f>VLOOKUP(ужин8,таб,5,FALSE)</f>
        <v>0</v>
      </c>
      <c r="AH307" s="253"/>
      <c r="AI307" s="139">
        <f>AK307/сред</f>
        <v>0</v>
      </c>
      <c r="AJ307" s="140"/>
      <c r="AK307" s="143">
        <f>SUM(G308:AG308)</f>
        <v>0</v>
      </c>
      <c r="AL307" s="143"/>
      <c r="AM307" s="131">
        <f>IF(AK307=0,0,Таблиця!BT399)</f>
        <v>0</v>
      </c>
      <c r="AN307" s="129">
        <f>AK307*AM307</f>
        <v>0</v>
      </c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</row>
    <row r="308" spans="1:66" ht="30.75" customHeight="1" hidden="1">
      <c r="A308" s="136"/>
      <c r="B308" s="137"/>
      <c r="C308" s="137"/>
      <c r="D308" s="137"/>
      <c r="E308" s="138"/>
      <c r="F308" s="107" t="s">
        <v>96</v>
      </c>
      <c r="G308" s="75">
        <f aca="true" t="shared" si="296" ref="G308:AG308">IF(G307=0,"",завтракл*G307/1000)</f>
      </c>
      <c r="H308" s="23">
        <f t="shared" si="296"/>
      </c>
      <c r="I308" s="23"/>
      <c r="J308" s="23">
        <f t="shared" si="296"/>
      </c>
      <c r="K308" s="23">
        <f t="shared" si="296"/>
      </c>
      <c r="L308" s="122">
        <f t="shared" si="296"/>
      </c>
      <c r="M308" s="75">
        <f t="shared" si="296"/>
      </c>
      <c r="N308" s="83">
        <f t="shared" si="296"/>
      </c>
      <c r="O308" s="75">
        <f t="shared" si="296"/>
      </c>
      <c r="P308" s="23">
        <f t="shared" si="296"/>
      </c>
      <c r="Q308" s="23">
        <f t="shared" si="296"/>
      </c>
      <c r="R308" s="23">
        <f t="shared" si="296"/>
      </c>
      <c r="S308" s="23">
        <f t="shared" si="296"/>
      </c>
      <c r="T308" s="23">
        <f t="shared" si="296"/>
      </c>
      <c r="U308" s="23">
        <f t="shared" si="296"/>
      </c>
      <c r="V308" s="83">
        <f t="shared" si="296"/>
      </c>
      <c r="W308" s="25">
        <f t="shared" si="296"/>
      </c>
      <c r="X308" s="23"/>
      <c r="Y308" s="83">
        <f t="shared" si="296"/>
      </c>
      <c r="Z308" s="25">
        <f t="shared" si="296"/>
      </c>
      <c r="AA308" s="23">
        <f t="shared" si="296"/>
      </c>
      <c r="AB308" s="23">
        <f t="shared" si="296"/>
      </c>
      <c r="AC308" s="23">
        <f t="shared" si="296"/>
      </c>
      <c r="AD308" s="23">
        <f t="shared" si="296"/>
      </c>
      <c r="AE308" s="23">
        <f t="shared" si="296"/>
      </c>
      <c r="AF308" s="23">
        <f t="shared" si="296"/>
      </c>
      <c r="AG308" s="83">
        <f t="shared" si="296"/>
      </c>
      <c r="AH308" s="254"/>
      <c r="AI308" s="139"/>
      <c r="AJ308" s="140"/>
      <c r="AK308" s="143"/>
      <c r="AL308" s="143"/>
      <c r="AM308" s="132"/>
      <c r="AN308" s="130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</row>
    <row r="309" spans="1:66" ht="30.75" customHeight="1" hidden="1">
      <c r="A309" s="133"/>
      <c r="B309" s="134"/>
      <c r="C309" s="134"/>
      <c r="D309" s="134"/>
      <c r="E309" s="135"/>
      <c r="F309" s="106" t="s">
        <v>95</v>
      </c>
      <c r="G309" s="71">
        <f>VLOOKUP(завтрак1,таб,5,FALSE)</f>
        <v>0</v>
      </c>
      <c r="H309" s="26">
        <f>VLOOKUP(завтрак2,таб,5,FALSE)</f>
        <v>0</v>
      </c>
      <c r="I309" s="26"/>
      <c r="J309" s="26">
        <f>VLOOKUP(завтрак4,таб,5,FALSE)</f>
        <v>0</v>
      </c>
      <c r="K309" s="26">
        <f>VLOOKUP(завтрак5,таб,5,FALSE)</f>
        <v>0</v>
      </c>
      <c r="L309" s="116">
        <f>VLOOKUP(завтрак6,таб,5,FALSE)</f>
        <v>0</v>
      </c>
      <c r="M309" s="71">
        <f>VLOOKUP(завтрак7,таб,5,FALSE)</f>
        <v>0</v>
      </c>
      <c r="N309" s="81">
        <f>VLOOKUP(завтрак8,таб,5,FALSE)</f>
        <v>0</v>
      </c>
      <c r="O309" s="34">
        <f>VLOOKUP(обед1,таб,5,FALSE)</f>
        <v>0</v>
      </c>
      <c r="P309" s="33">
        <f>VLOOKUP(обед2,таб,5,FALSE)</f>
        <v>0</v>
      </c>
      <c r="Q309" s="33">
        <f>VLOOKUP(обед3,таб,5,FALSE)</f>
        <v>0</v>
      </c>
      <c r="R309" s="33">
        <f>VLOOKUP(обед4,таб,5,FALSE)</f>
        <v>0</v>
      </c>
      <c r="S309" s="33">
        <f>VLOOKUP(обед5,таб,5,FALSE)</f>
        <v>0</v>
      </c>
      <c r="T309" s="33">
        <f>VLOOKUP(обед6,таб,5,FALSE)</f>
        <v>0</v>
      </c>
      <c r="U309" s="33">
        <f>VLOOKUP(обед7,таб,5,FALSE)</f>
        <v>0</v>
      </c>
      <c r="V309" s="87">
        <f>VLOOKUP(обед8,таб,5,FALSE)</f>
        <v>0</v>
      </c>
      <c r="W309" s="34">
        <f>VLOOKUP(полдник1,таб,5,FALSE)</f>
        <v>0</v>
      </c>
      <c r="X309" s="33"/>
      <c r="Y309" s="87">
        <f>VLOOKUP(полдник3,таб,5,FALSE)</f>
        <v>0</v>
      </c>
      <c r="Z309" s="34">
        <f>VLOOKUP(ужин1,таб,5,FALSE)</f>
        <v>0</v>
      </c>
      <c r="AA309" s="33">
        <f>VLOOKUP(ужин2,таб,5,FALSE)</f>
        <v>0</v>
      </c>
      <c r="AB309" s="33">
        <f>VLOOKUP(ужин3,таб,5,FALSE)</f>
        <v>0</v>
      </c>
      <c r="AC309" s="33">
        <f>VLOOKUP(ужин4,таб,5,FALSE)</f>
        <v>0</v>
      </c>
      <c r="AD309" s="33">
        <f>VLOOKUP(ужин5,таб,5,FALSE)</f>
        <v>0</v>
      </c>
      <c r="AE309" s="33">
        <f>VLOOKUP(ужин6,таб,5,FALSE)</f>
        <v>0</v>
      </c>
      <c r="AF309" s="33">
        <f>VLOOKUP(ужин7,таб,5,FALSE)</f>
        <v>0</v>
      </c>
      <c r="AG309" s="87">
        <f>VLOOKUP(ужин8,таб,5,FALSE)</f>
        <v>0</v>
      </c>
      <c r="AH309" s="253"/>
      <c r="AI309" s="139">
        <f>AK309/сред</f>
        <v>0</v>
      </c>
      <c r="AJ309" s="140"/>
      <c r="AK309" s="143">
        <f>SUM(G310:AG310)</f>
        <v>0</v>
      </c>
      <c r="AL309" s="143"/>
      <c r="AM309" s="131">
        <f>IF(AK309=0,0,Таблиця!BT401)</f>
        <v>0</v>
      </c>
      <c r="AN309" s="129">
        <f>AK309*AM309</f>
        <v>0</v>
      </c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</row>
    <row r="310" spans="1:66" ht="30.75" customHeight="1" hidden="1">
      <c r="A310" s="136"/>
      <c r="B310" s="137"/>
      <c r="C310" s="137"/>
      <c r="D310" s="137"/>
      <c r="E310" s="138"/>
      <c r="F310" s="107" t="s">
        <v>96</v>
      </c>
      <c r="G310" s="75">
        <f aca="true" t="shared" si="297" ref="G310:AG310">IF(G309=0,"",завтракл*G309/1000)</f>
      </c>
      <c r="H310" s="23">
        <f t="shared" si="297"/>
      </c>
      <c r="I310" s="23"/>
      <c r="J310" s="23">
        <f t="shared" si="297"/>
      </c>
      <c r="K310" s="23">
        <f t="shared" si="297"/>
      </c>
      <c r="L310" s="122">
        <f t="shared" si="297"/>
      </c>
      <c r="M310" s="75">
        <f t="shared" si="297"/>
      </c>
      <c r="N310" s="83">
        <f t="shared" si="297"/>
      </c>
      <c r="O310" s="75">
        <f t="shared" si="297"/>
      </c>
      <c r="P310" s="23">
        <f t="shared" si="297"/>
      </c>
      <c r="Q310" s="23">
        <f t="shared" si="297"/>
      </c>
      <c r="R310" s="23">
        <f t="shared" si="297"/>
      </c>
      <c r="S310" s="23">
        <f t="shared" si="297"/>
      </c>
      <c r="T310" s="23">
        <f t="shared" si="297"/>
      </c>
      <c r="U310" s="23">
        <f t="shared" si="297"/>
      </c>
      <c r="V310" s="83">
        <f t="shared" si="297"/>
      </c>
      <c r="W310" s="25">
        <f t="shared" si="297"/>
      </c>
      <c r="X310" s="23"/>
      <c r="Y310" s="83">
        <f t="shared" si="297"/>
      </c>
      <c r="Z310" s="25">
        <f t="shared" si="297"/>
      </c>
      <c r="AA310" s="23">
        <f t="shared" si="297"/>
      </c>
      <c r="AB310" s="23">
        <f t="shared" si="297"/>
      </c>
      <c r="AC310" s="23">
        <f t="shared" si="297"/>
      </c>
      <c r="AD310" s="23">
        <f t="shared" si="297"/>
      </c>
      <c r="AE310" s="23">
        <f t="shared" si="297"/>
      </c>
      <c r="AF310" s="23">
        <f t="shared" si="297"/>
      </c>
      <c r="AG310" s="83">
        <f t="shared" si="297"/>
      </c>
      <c r="AH310" s="254"/>
      <c r="AI310" s="139"/>
      <c r="AJ310" s="140"/>
      <c r="AK310" s="143"/>
      <c r="AL310" s="143"/>
      <c r="AM310" s="132"/>
      <c r="AN310" s="130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</row>
    <row r="311" spans="1:66" ht="30.75" customHeight="1" hidden="1">
      <c r="A311" s="133"/>
      <c r="B311" s="134"/>
      <c r="C311" s="134"/>
      <c r="D311" s="134"/>
      <c r="E311" s="135"/>
      <c r="F311" s="106" t="s">
        <v>95</v>
      </c>
      <c r="G311" s="71">
        <f>VLOOKUP(завтрак1,таб,5,FALSE)</f>
        <v>0</v>
      </c>
      <c r="H311" s="26">
        <f>VLOOKUP(завтрак2,таб,5,FALSE)</f>
        <v>0</v>
      </c>
      <c r="I311" s="26"/>
      <c r="J311" s="26">
        <f>VLOOKUP(завтрак4,таб,5,FALSE)</f>
        <v>0</v>
      </c>
      <c r="K311" s="26">
        <f>VLOOKUP(завтрак5,таб,5,FALSE)</f>
        <v>0</v>
      </c>
      <c r="L311" s="116">
        <f>VLOOKUP(завтрак6,таб,5,FALSE)</f>
        <v>0</v>
      </c>
      <c r="M311" s="71">
        <f>VLOOKUP(завтрак7,таб,5,FALSE)</f>
        <v>0</v>
      </c>
      <c r="N311" s="81">
        <f>VLOOKUP(завтрак8,таб,5,FALSE)</f>
        <v>0</v>
      </c>
      <c r="O311" s="34">
        <f>VLOOKUP(обед1,таб,5,FALSE)</f>
        <v>0</v>
      </c>
      <c r="P311" s="33">
        <f>VLOOKUP(обед2,таб,5,FALSE)</f>
        <v>0</v>
      </c>
      <c r="Q311" s="33">
        <f>VLOOKUP(обед3,таб,5,FALSE)</f>
        <v>0</v>
      </c>
      <c r="R311" s="33">
        <f>VLOOKUP(обед4,таб,5,FALSE)</f>
        <v>0</v>
      </c>
      <c r="S311" s="33">
        <f>VLOOKUP(обед5,таб,5,FALSE)</f>
        <v>0</v>
      </c>
      <c r="T311" s="33">
        <f>VLOOKUP(обед6,таб,5,FALSE)</f>
        <v>0</v>
      </c>
      <c r="U311" s="33">
        <f>VLOOKUP(обед7,таб,5,FALSE)</f>
        <v>0</v>
      </c>
      <c r="V311" s="87">
        <f>VLOOKUP(обед8,таб,5,FALSE)</f>
        <v>0</v>
      </c>
      <c r="W311" s="34">
        <f>VLOOKUP(полдник1,таб,5,FALSE)</f>
        <v>0</v>
      </c>
      <c r="X311" s="33"/>
      <c r="Y311" s="87">
        <f>VLOOKUP(полдник3,таб,5,FALSE)</f>
        <v>0</v>
      </c>
      <c r="Z311" s="34">
        <f>VLOOKUP(ужин1,таб,5,FALSE)</f>
        <v>0</v>
      </c>
      <c r="AA311" s="33">
        <f>VLOOKUP(ужин2,таб,5,FALSE)</f>
        <v>0</v>
      </c>
      <c r="AB311" s="33">
        <f>VLOOKUP(ужин3,таб,5,FALSE)</f>
        <v>0</v>
      </c>
      <c r="AC311" s="33">
        <f>VLOOKUP(ужин4,таб,5,FALSE)</f>
        <v>0</v>
      </c>
      <c r="AD311" s="33">
        <f>VLOOKUP(ужин5,таб,5,FALSE)</f>
        <v>0</v>
      </c>
      <c r="AE311" s="33">
        <f>VLOOKUP(ужин6,таб,5,FALSE)</f>
        <v>0</v>
      </c>
      <c r="AF311" s="33">
        <f>VLOOKUP(ужин7,таб,5,FALSE)</f>
        <v>0</v>
      </c>
      <c r="AG311" s="87">
        <f>VLOOKUP(ужин8,таб,5,FALSE)</f>
        <v>0</v>
      </c>
      <c r="AH311" s="253"/>
      <c r="AI311" s="139">
        <f>AK311/сред</f>
        <v>0</v>
      </c>
      <c r="AJ311" s="140"/>
      <c r="AK311" s="143">
        <f>SUM(G312:AG312)</f>
        <v>0</v>
      </c>
      <c r="AL311" s="143"/>
      <c r="AM311" s="131">
        <f>IF(AK311=0,0,Таблиця!BT403)</f>
        <v>0</v>
      </c>
      <c r="AN311" s="129">
        <f>AK311*AM311</f>
        <v>0</v>
      </c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</row>
    <row r="312" spans="1:66" ht="30.75" customHeight="1" hidden="1">
      <c r="A312" s="136"/>
      <c r="B312" s="137"/>
      <c r="C312" s="137"/>
      <c r="D312" s="137"/>
      <c r="E312" s="138"/>
      <c r="F312" s="107" t="s">
        <v>96</v>
      </c>
      <c r="G312" s="75">
        <f aca="true" t="shared" si="298" ref="G312:AG312">IF(G311=0,"",завтракл*G311/1000)</f>
      </c>
      <c r="H312" s="23">
        <f t="shared" si="298"/>
      </c>
      <c r="I312" s="23"/>
      <c r="J312" s="23">
        <f t="shared" si="298"/>
      </c>
      <c r="K312" s="23">
        <f t="shared" si="298"/>
      </c>
      <c r="L312" s="122">
        <f t="shared" si="298"/>
      </c>
      <c r="M312" s="75">
        <f t="shared" si="298"/>
      </c>
      <c r="N312" s="83">
        <f t="shared" si="298"/>
      </c>
      <c r="O312" s="75">
        <f t="shared" si="298"/>
      </c>
      <c r="P312" s="23">
        <f t="shared" si="298"/>
      </c>
      <c r="Q312" s="23">
        <f t="shared" si="298"/>
      </c>
      <c r="R312" s="23">
        <f t="shared" si="298"/>
      </c>
      <c r="S312" s="23">
        <f t="shared" si="298"/>
      </c>
      <c r="T312" s="23">
        <f t="shared" si="298"/>
      </c>
      <c r="U312" s="23">
        <f t="shared" si="298"/>
      </c>
      <c r="V312" s="83">
        <f t="shared" si="298"/>
      </c>
      <c r="W312" s="25">
        <f t="shared" si="298"/>
      </c>
      <c r="X312" s="23"/>
      <c r="Y312" s="83">
        <f t="shared" si="298"/>
      </c>
      <c r="Z312" s="25">
        <f t="shared" si="298"/>
      </c>
      <c r="AA312" s="23">
        <f t="shared" si="298"/>
      </c>
      <c r="AB312" s="23">
        <f t="shared" si="298"/>
      </c>
      <c r="AC312" s="23">
        <f t="shared" si="298"/>
      </c>
      <c r="AD312" s="23">
        <f t="shared" si="298"/>
      </c>
      <c r="AE312" s="23">
        <f t="shared" si="298"/>
      </c>
      <c r="AF312" s="23">
        <f t="shared" si="298"/>
      </c>
      <c r="AG312" s="83">
        <f t="shared" si="298"/>
      </c>
      <c r="AH312" s="254"/>
      <c r="AI312" s="139"/>
      <c r="AJ312" s="140"/>
      <c r="AK312" s="143"/>
      <c r="AL312" s="143"/>
      <c r="AM312" s="132"/>
      <c r="AN312" s="130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</row>
    <row r="313" spans="1:66" ht="30.75" customHeight="1" hidden="1">
      <c r="A313" s="133"/>
      <c r="B313" s="134"/>
      <c r="C313" s="134"/>
      <c r="D313" s="134"/>
      <c r="E313" s="135"/>
      <c r="F313" s="106" t="s">
        <v>95</v>
      </c>
      <c r="G313" s="71">
        <f>VLOOKUP(завтрак1,таб,5,FALSE)</f>
        <v>0</v>
      </c>
      <c r="H313" s="26">
        <f>VLOOKUP(завтрак2,таб,5,FALSE)</f>
        <v>0</v>
      </c>
      <c r="I313" s="26"/>
      <c r="J313" s="26">
        <f>VLOOKUP(завтрак4,таб,5,FALSE)</f>
        <v>0</v>
      </c>
      <c r="K313" s="26">
        <f>VLOOKUP(завтрак5,таб,5,FALSE)</f>
        <v>0</v>
      </c>
      <c r="L313" s="116">
        <f>VLOOKUP(завтрак6,таб,5,FALSE)</f>
        <v>0</v>
      </c>
      <c r="M313" s="71">
        <f>VLOOKUP(завтрак7,таб,5,FALSE)</f>
        <v>0</v>
      </c>
      <c r="N313" s="81">
        <f>VLOOKUP(завтрак8,таб,5,FALSE)</f>
        <v>0</v>
      </c>
      <c r="O313" s="34">
        <f>VLOOKUP(обед1,таб,5,FALSE)</f>
        <v>0</v>
      </c>
      <c r="P313" s="33">
        <f>VLOOKUP(обед2,таб,5,FALSE)</f>
        <v>0</v>
      </c>
      <c r="Q313" s="33">
        <f>VLOOKUP(обед3,таб,5,FALSE)</f>
        <v>0</v>
      </c>
      <c r="R313" s="33">
        <f>VLOOKUP(обед4,таб,5,FALSE)</f>
        <v>0</v>
      </c>
      <c r="S313" s="33">
        <f>VLOOKUP(обед5,таб,5,FALSE)</f>
        <v>0</v>
      </c>
      <c r="T313" s="33">
        <f>VLOOKUP(обед6,таб,5,FALSE)</f>
        <v>0</v>
      </c>
      <c r="U313" s="33">
        <f>VLOOKUP(обед7,таб,5,FALSE)</f>
        <v>0</v>
      </c>
      <c r="V313" s="87">
        <f>VLOOKUP(обед8,таб,5,FALSE)</f>
        <v>0</v>
      </c>
      <c r="W313" s="34">
        <f>VLOOKUP(полдник1,таб,5,FALSE)</f>
        <v>0</v>
      </c>
      <c r="X313" s="33"/>
      <c r="Y313" s="87">
        <f>VLOOKUP(полдник3,таб,5,FALSE)</f>
        <v>0</v>
      </c>
      <c r="Z313" s="34">
        <f>VLOOKUP(ужин1,таб,5,FALSE)</f>
        <v>0</v>
      </c>
      <c r="AA313" s="33">
        <f>VLOOKUP(ужин2,таб,5,FALSE)</f>
        <v>0</v>
      </c>
      <c r="AB313" s="33">
        <f>VLOOKUP(ужин3,таб,5,FALSE)</f>
        <v>0</v>
      </c>
      <c r="AC313" s="33">
        <f>VLOOKUP(ужин4,таб,5,FALSE)</f>
        <v>0</v>
      </c>
      <c r="AD313" s="33">
        <f>VLOOKUP(ужин5,таб,5,FALSE)</f>
        <v>0</v>
      </c>
      <c r="AE313" s="33">
        <f>VLOOKUP(ужин6,таб,5,FALSE)</f>
        <v>0</v>
      </c>
      <c r="AF313" s="33">
        <f>VLOOKUP(ужин7,таб,5,FALSE)</f>
        <v>0</v>
      </c>
      <c r="AG313" s="87">
        <f>VLOOKUP(ужин8,таб,5,FALSE)</f>
        <v>0</v>
      </c>
      <c r="AH313" s="253"/>
      <c r="AI313" s="139">
        <f>AK313/сред</f>
        <v>0</v>
      </c>
      <c r="AJ313" s="140"/>
      <c r="AK313" s="143">
        <f>SUM(G314:AG314)</f>
        <v>0</v>
      </c>
      <c r="AL313" s="143"/>
      <c r="AM313" s="131">
        <f>IF(AK313=0,0,Таблиця!BT405)</f>
        <v>0</v>
      </c>
      <c r="AN313" s="129">
        <f>AK313*AM313</f>
        <v>0</v>
      </c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</row>
    <row r="314" spans="1:66" ht="30.75" customHeight="1" hidden="1">
      <c r="A314" s="136"/>
      <c r="B314" s="137"/>
      <c r="C314" s="137"/>
      <c r="D314" s="137"/>
      <c r="E314" s="138"/>
      <c r="F314" s="107" t="s">
        <v>96</v>
      </c>
      <c r="G314" s="75">
        <f aca="true" t="shared" si="299" ref="G314:AG314">IF(G313=0,"",завтракл*G313/1000)</f>
      </c>
      <c r="H314" s="23">
        <f t="shared" si="299"/>
      </c>
      <c r="I314" s="23"/>
      <c r="J314" s="23">
        <f t="shared" si="299"/>
      </c>
      <c r="K314" s="23">
        <f t="shared" si="299"/>
      </c>
      <c r="L314" s="122">
        <f t="shared" si="299"/>
      </c>
      <c r="M314" s="75">
        <f t="shared" si="299"/>
      </c>
      <c r="N314" s="83">
        <f t="shared" si="299"/>
      </c>
      <c r="O314" s="75">
        <f t="shared" si="299"/>
      </c>
      <c r="P314" s="23">
        <f t="shared" si="299"/>
      </c>
      <c r="Q314" s="23">
        <f t="shared" si="299"/>
      </c>
      <c r="R314" s="23">
        <f t="shared" si="299"/>
      </c>
      <c r="S314" s="23">
        <f t="shared" si="299"/>
      </c>
      <c r="T314" s="23">
        <f t="shared" si="299"/>
      </c>
      <c r="U314" s="23">
        <f t="shared" si="299"/>
      </c>
      <c r="V314" s="83">
        <f t="shared" si="299"/>
      </c>
      <c r="W314" s="25">
        <f t="shared" si="299"/>
      </c>
      <c r="X314" s="23"/>
      <c r="Y314" s="83">
        <f t="shared" si="299"/>
      </c>
      <c r="Z314" s="25">
        <f t="shared" si="299"/>
      </c>
      <c r="AA314" s="23">
        <f t="shared" si="299"/>
      </c>
      <c r="AB314" s="23">
        <f t="shared" si="299"/>
      </c>
      <c r="AC314" s="23">
        <f t="shared" si="299"/>
      </c>
      <c r="AD314" s="23">
        <f t="shared" si="299"/>
      </c>
      <c r="AE314" s="23">
        <f t="shared" si="299"/>
      </c>
      <c r="AF314" s="23">
        <f t="shared" si="299"/>
      </c>
      <c r="AG314" s="83">
        <f t="shared" si="299"/>
      </c>
      <c r="AH314" s="254"/>
      <c r="AI314" s="139"/>
      <c r="AJ314" s="140"/>
      <c r="AK314" s="143"/>
      <c r="AL314" s="143"/>
      <c r="AM314" s="132"/>
      <c r="AN314" s="130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</row>
    <row r="315" spans="1:66" ht="30.75" customHeight="1" hidden="1">
      <c r="A315" s="133"/>
      <c r="B315" s="134"/>
      <c r="C315" s="134"/>
      <c r="D315" s="134"/>
      <c r="E315" s="135"/>
      <c r="F315" s="106" t="s">
        <v>95</v>
      </c>
      <c r="G315" s="71">
        <f>VLOOKUP(завтрак1,таб,5,FALSE)</f>
        <v>0</v>
      </c>
      <c r="H315" s="26">
        <f>VLOOKUP(завтрак2,таб,5,FALSE)</f>
        <v>0</v>
      </c>
      <c r="I315" s="26"/>
      <c r="J315" s="26">
        <f>VLOOKUP(завтрак4,таб,5,FALSE)</f>
        <v>0</v>
      </c>
      <c r="K315" s="26">
        <f>VLOOKUP(завтрак5,таб,5,FALSE)</f>
        <v>0</v>
      </c>
      <c r="L315" s="116">
        <f>VLOOKUP(завтрак6,таб,5,FALSE)</f>
        <v>0</v>
      </c>
      <c r="M315" s="71">
        <f>VLOOKUP(завтрак7,таб,5,FALSE)</f>
        <v>0</v>
      </c>
      <c r="N315" s="81">
        <f>VLOOKUP(завтрак8,таб,5,FALSE)</f>
        <v>0</v>
      </c>
      <c r="O315" s="34">
        <f>VLOOKUP(обед1,таб,5,FALSE)</f>
        <v>0</v>
      </c>
      <c r="P315" s="33">
        <f>VLOOKUP(обед2,таб,5,FALSE)</f>
        <v>0</v>
      </c>
      <c r="Q315" s="33">
        <f>VLOOKUP(обед3,таб,5,FALSE)</f>
        <v>0</v>
      </c>
      <c r="R315" s="33">
        <f>VLOOKUP(обед4,таб,5,FALSE)</f>
        <v>0</v>
      </c>
      <c r="S315" s="33">
        <f>VLOOKUP(обед5,таб,5,FALSE)</f>
        <v>0</v>
      </c>
      <c r="T315" s="33">
        <f>VLOOKUP(обед6,таб,5,FALSE)</f>
        <v>0</v>
      </c>
      <c r="U315" s="33">
        <f>VLOOKUP(обед7,таб,5,FALSE)</f>
        <v>0</v>
      </c>
      <c r="V315" s="87">
        <f>VLOOKUP(обед8,таб,5,FALSE)</f>
        <v>0</v>
      </c>
      <c r="W315" s="34">
        <f>VLOOKUP(полдник1,таб,5,FALSE)</f>
        <v>0</v>
      </c>
      <c r="X315" s="33"/>
      <c r="Y315" s="87">
        <f>VLOOKUP(полдник3,таб,5,FALSE)</f>
        <v>0</v>
      </c>
      <c r="Z315" s="34">
        <f>VLOOKUP(ужин1,таб,5,FALSE)</f>
        <v>0</v>
      </c>
      <c r="AA315" s="33">
        <f>VLOOKUP(ужин2,таб,5,FALSE)</f>
        <v>0</v>
      </c>
      <c r="AB315" s="33">
        <f>VLOOKUP(ужин3,таб,5,FALSE)</f>
        <v>0</v>
      </c>
      <c r="AC315" s="33">
        <f>VLOOKUP(ужин4,таб,5,FALSE)</f>
        <v>0</v>
      </c>
      <c r="AD315" s="33">
        <f>VLOOKUP(ужин5,таб,5,FALSE)</f>
        <v>0</v>
      </c>
      <c r="AE315" s="33">
        <f>VLOOKUP(ужин6,таб,5,FALSE)</f>
        <v>0</v>
      </c>
      <c r="AF315" s="33">
        <f>VLOOKUP(ужин7,таб,5,FALSE)</f>
        <v>0</v>
      </c>
      <c r="AG315" s="87">
        <f>VLOOKUP(ужин8,таб,5,FALSE)</f>
        <v>0</v>
      </c>
      <c r="AH315" s="253"/>
      <c r="AI315" s="139">
        <f>AK315/сред</f>
        <v>0</v>
      </c>
      <c r="AJ315" s="140"/>
      <c r="AK315" s="143">
        <f>SUM(G316:AG316)</f>
        <v>0</v>
      </c>
      <c r="AL315" s="143"/>
      <c r="AM315" s="131">
        <f>IF(AK315=0,0,Таблиця!BT407)</f>
        <v>0</v>
      </c>
      <c r="AN315" s="129">
        <f>AK315*AM315</f>
        <v>0</v>
      </c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</row>
    <row r="316" spans="1:66" ht="30.75" customHeight="1" hidden="1">
      <c r="A316" s="136"/>
      <c r="B316" s="137"/>
      <c r="C316" s="137"/>
      <c r="D316" s="137"/>
      <c r="E316" s="138"/>
      <c r="F316" s="107" t="s">
        <v>96</v>
      </c>
      <c r="G316" s="75">
        <f aca="true" t="shared" si="300" ref="G316:AG316">IF(G315=0,"",завтракл*G315/1000)</f>
      </c>
      <c r="H316" s="23">
        <f t="shared" si="300"/>
      </c>
      <c r="I316" s="23"/>
      <c r="J316" s="23">
        <f t="shared" si="300"/>
      </c>
      <c r="K316" s="23">
        <f t="shared" si="300"/>
      </c>
      <c r="L316" s="122">
        <f t="shared" si="300"/>
      </c>
      <c r="M316" s="75">
        <f t="shared" si="300"/>
      </c>
      <c r="N316" s="83">
        <f t="shared" si="300"/>
      </c>
      <c r="O316" s="75">
        <f t="shared" si="300"/>
      </c>
      <c r="P316" s="23">
        <f t="shared" si="300"/>
      </c>
      <c r="Q316" s="23">
        <f t="shared" si="300"/>
      </c>
      <c r="R316" s="23">
        <f t="shared" si="300"/>
      </c>
      <c r="S316" s="23">
        <f t="shared" si="300"/>
      </c>
      <c r="T316" s="23">
        <f t="shared" si="300"/>
      </c>
      <c r="U316" s="23">
        <f t="shared" si="300"/>
      </c>
      <c r="V316" s="83">
        <f t="shared" si="300"/>
      </c>
      <c r="W316" s="25">
        <f t="shared" si="300"/>
      </c>
      <c r="X316" s="23"/>
      <c r="Y316" s="83">
        <f t="shared" si="300"/>
      </c>
      <c r="Z316" s="25">
        <f t="shared" si="300"/>
      </c>
      <c r="AA316" s="23">
        <f t="shared" si="300"/>
      </c>
      <c r="AB316" s="23">
        <f t="shared" si="300"/>
      </c>
      <c r="AC316" s="23">
        <f t="shared" si="300"/>
      </c>
      <c r="AD316" s="23">
        <f t="shared" si="300"/>
      </c>
      <c r="AE316" s="23">
        <f t="shared" si="300"/>
      </c>
      <c r="AF316" s="23">
        <f t="shared" si="300"/>
      </c>
      <c r="AG316" s="83">
        <f t="shared" si="300"/>
      </c>
      <c r="AH316" s="254"/>
      <c r="AI316" s="139"/>
      <c r="AJ316" s="140"/>
      <c r="AK316" s="143"/>
      <c r="AL316" s="143"/>
      <c r="AM316" s="132"/>
      <c r="AN316" s="130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</row>
    <row r="317" spans="1:66" ht="30.75" customHeight="1" hidden="1">
      <c r="A317" s="133"/>
      <c r="B317" s="134"/>
      <c r="C317" s="134"/>
      <c r="D317" s="134"/>
      <c r="E317" s="135"/>
      <c r="F317" s="106" t="s">
        <v>95</v>
      </c>
      <c r="G317" s="71">
        <f>VLOOKUP(завтрак1,таб,5,FALSE)</f>
        <v>0</v>
      </c>
      <c r="H317" s="26">
        <f>VLOOKUP(завтрак2,таб,5,FALSE)</f>
        <v>0</v>
      </c>
      <c r="I317" s="26"/>
      <c r="J317" s="26">
        <f>VLOOKUP(завтрак4,таб,5,FALSE)</f>
        <v>0</v>
      </c>
      <c r="K317" s="26">
        <f>VLOOKUP(завтрак5,таб,5,FALSE)</f>
        <v>0</v>
      </c>
      <c r="L317" s="116">
        <f>VLOOKUP(завтрак6,таб,5,FALSE)</f>
        <v>0</v>
      </c>
      <c r="M317" s="71">
        <f>VLOOKUP(завтрак7,таб,5,FALSE)</f>
        <v>0</v>
      </c>
      <c r="N317" s="81">
        <f>VLOOKUP(завтрак8,таб,5,FALSE)</f>
        <v>0</v>
      </c>
      <c r="O317" s="34">
        <f>VLOOKUP(обед1,таб,5,FALSE)</f>
        <v>0</v>
      </c>
      <c r="P317" s="33">
        <f>VLOOKUP(обед2,таб,5,FALSE)</f>
        <v>0</v>
      </c>
      <c r="Q317" s="33">
        <f>VLOOKUP(обед3,таб,5,FALSE)</f>
        <v>0</v>
      </c>
      <c r="R317" s="33">
        <f>VLOOKUP(обед4,таб,5,FALSE)</f>
        <v>0</v>
      </c>
      <c r="S317" s="33">
        <f>VLOOKUP(обед5,таб,5,FALSE)</f>
        <v>0</v>
      </c>
      <c r="T317" s="33">
        <f>VLOOKUP(обед6,таб,5,FALSE)</f>
        <v>0</v>
      </c>
      <c r="U317" s="33">
        <f>VLOOKUP(обед7,таб,5,FALSE)</f>
        <v>0</v>
      </c>
      <c r="V317" s="87">
        <f>VLOOKUP(обед8,таб,5,FALSE)</f>
        <v>0</v>
      </c>
      <c r="W317" s="34">
        <f>VLOOKUP(полдник1,таб,5,FALSE)</f>
        <v>0</v>
      </c>
      <c r="X317" s="33"/>
      <c r="Y317" s="87">
        <f>VLOOKUP(полдник3,таб,5,FALSE)</f>
        <v>0</v>
      </c>
      <c r="Z317" s="34">
        <f>VLOOKUP(ужин1,таб,5,FALSE)</f>
        <v>0</v>
      </c>
      <c r="AA317" s="33">
        <f>VLOOKUP(ужин2,таб,5,FALSE)</f>
        <v>0</v>
      </c>
      <c r="AB317" s="33">
        <f>VLOOKUP(ужин3,таб,5,FALSE)</f>
        <v>0</v>
      </c>
      <c r="AC317" s="33">
        <f>VLOOKUP(ужин4,таб,5,FALSE)</f>
        <v>0</v>
      </c>
      <c r="AD317" s="33">
        <f>VLOOKUP(ужин5,таб,5,FALSE)</f>
        <v>0</v>
      </c>
      <c r="AE317" s="33">
        <f>VLOOKUP(ужин6,таб,5,FALSE)</f>
        <v>0</v>
      </c>
      <c r="AF317" s="33">
        <f>VLOOKUP(ужин7,таб,5,FALSE)</f>
        <v>0</v>
      </c>
      <c r="AG317" s="87">
        <f>VLOOKUP(ужин8,таб,5,FALSE)</f>
        <v>0</v>
      </c>
      <c r="AH317" s="253"/>
      <c r="AI317" s="139">
        <f>AK317/сред</f>
        <v>0</v>
      </c>
      <c r="AJ317" s="140"/>
      <c r="AK317" s="143">
        <f>SUM(G318:AG318)</f>
        <v>0</v>
      </c>
      <c r="AL317" s="143"/>
      <c r="AM317" s="131">
        <f>IF(AK317=0,0,Таблиця!BT409)</f>
        <v>0</v>
      </c>
      <c r="AN317" s="129">
        <f>AK317*AM317</f>
        <v>0</v>
      </c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</row>
    <row r="318" spans="1:66" ht="30.75" customHeight="1" hidden="1">
      <c r="A318" s="136"/>
      <c r="B318" s="137"/>
      <c r="C318" s="137"/>
      <c r="D318" s="137"/>
      <c r="E318" s="138"/>
      <c r="F318" s="107" t="s">
        <v>96</v>
      </c>
      <c r="G318" s="75">
        <f aca="true" t="shared" si="301" ref="G318:AG318">IF(G317=0,"",завтракл*G317/1000)</f>
      </c>
      <c r="H318" s="23">
        <f t="shared" si="301"/>
      </c>
      <c r="I318" s="23"/>
      <c r="J318" s="23">
        <f t="shared" si="301"/>
      </c>
      <c r="K318" s="23">
        <f t="shared" si="301"/>
      </c>
      <c r="L318" s="122">
        <f t="shared" si="301"/>
      </c>
      <c r="M318" s="75">
        <f t="shared" si="301"/>
      </c>
      <c r="N318" s="83">
        <f t="shared" si="301"/>
      </c>
      <c r="O318" s="75">
        <f t="shared" si="301"/>
      </c>
      <c r="P318" s="23">
        <f t="shared" si="301"/>
      </c>
      <c r="Q318" s="23">
        <f t="shared" si="301"/>
      </c>
      <c r="R318" s="23">
        <f t="shared" si="301"/>
      </c>
      <c r="S318" s="23">
        <f t="shared" si="301"/>
      </c>
      <c r="T318" s="23">
        <f t="shared" si="301"/>
      </c>
      <c r="U318" s="23">
        <f t="shared" si="301"/>
      </c>
      <c r="V318" s="83">
        <f t="shared" si="301"/>
      </c>
      <c r="W318" s="25">
        <f t="shared" si="301"/>
      </c>
      <c r="X318" s="23"/>
      <c r="Y318" s="83">
        <f t="shared" si="301"/>
      </c>
      <c r="Z318" s="25">
        <f t="shared" si="301"/>
      </c>
      <c r="AA318" s="23">
        <f t="shared" si="301"/>
      </c>
      <c r="AB318" s="23">
        <f t="shared" si="301"/>
      </c>
      <c r="AC318" s="23">
        <f t="shared" si="301"/>
      </c>
      <c r="AD318" s="23">
        <f t="shared" si="301"/>
      </c>
      <c r="AE318" s="23">
        <f t="shared" si="301"/>
      </c>
      <c r="AF318" s="23">
        <f t="shared" si="301"/>
      </c>
      <c r="AG318" s="83">
        <f t="shared" si="301"/>
      </c>
      <c r="AH318" s="254"/>
      <c r="AI318" s="139"/>
      <c r="AJ318" s="140"/>
      <c r="AK318" s="143"/>
      <c r="AL318" s="143"/>
      <c r="AM318" s="132"/>
      <c r="AN318" s="130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</row>
    <row r="319" spans="1:66" ht="30.75" customHeight="1" hidden="1">
      <c r="A319" s="133"/>
      <c r="B319" s="134"/>
      <c r="C319" s="134"/>
      <c r="D319" s="134"/>
      <c r="E319" s="135"/>
      <c r="F319" s="106" t="s">
        <v>95</v>
      </c>
      <c r="G319" s="71">
        <f>VLOOKUP(завтрак1,таб,5,FALSE)</f>
        <v>0</v>
      </c>
      <c r="H319" s="26">
        <f>VLOOKUP(завтрак2,таб,5,FALSE)</f>
        <v>0</v>
      </c>
      <c r="I319" s="26"/>
      <c r="J319" s="26">
        <f>VLOOKUP(завтрак4,таб,5,FALSE)</f>
        <v>0</v>
      </c>
      <c r="K319" s="26">
        <f>VLOOKUP(завтрак5,таб,5,FALSE)</f>
        <v>0</v>
      </c>
      <c r="L319" s="116">
        <f>VLOOKUP(завтрак6,таб,5,FALSE)</f>
        <v>0</v>
      </c>
      <c r="M319" s="71">
        <f>VLOOKUP(завтрак7,таб,5,FALSE)</f>
        <v>0</v>
      </c>
      <c r="N319" s="81">
        <f>VLOOKUP(завтрак8,таб,5,FALSE)</f>
        <v>0</v>
      </c>
      <c r="O319" s="34">
        <f>VLOOKUP(обед1,таб,5,FALSE)</f>
        <v>0</v>
      </c>
      <c r="P319" s="33">
        <f>VLOOKUP(обед2,таб,5,FALSE)</f>
        <v>0</v>
      </c>
      <c r="Q319" s="33">
        <f>VLOOKUP(обед3,таб,5,FALSE)</f>
        <v>0</v>
      </c>
      <c r="R319" s="33">
        <f>VLOOKUP(обед4,таб,5,FALSE)</f>
        <v>0</v>
      </c>
      <c r="S319" s="33">
        <f>VLOOKUP(обед5,таб,5,FALSE)</f>
        <v>0</v>
      </c>
      <c r="T319" s="33">
        <f>VLOOKUP(обед6,таб,5,FALSE)</f>
        <v>0</v>
      </c>
      <c r="U319" s="33">
        <f>VLOOKUP(обед7,таб,5,FALSE)</f>
        <v>0</v>
      </c>
      <c r="V319" s="87">
        <f>VLOOKUP(обед8,таб,5,FALSE)</f>
        <v>0</v>
      </c>
      <c r="W319" s="34">
        <f>VLOOKUP(полдник1,таб,5,FALSE)</f>
        <v>0</v>
      </c>
      <c r="X319" s="33"/>
      <c r="Y319" s="87">
        <f>VLOOKUP(полдник3,таб,5,FALSE)</f>
        <v>0</v>
      </c>
      <c r="Z319" s="34">
        <f>VLOOKUP(ужин1,таб,5,FALSE)</f>
        <v>0</v>
      </c>
      <c r="AA319" s="33">
        <f>VLOOKUP(ужин2,таб,5,FALSE)</f>
        <v>0</v>
      </c>
      <c r="AB319" s="33">
        <f>VLOOKUP(ужин3,таб,5,FALSE)</f>
        <v>0</v>
      </c>
      <c r="AC319" s="33">
        <f>VLOOKUP(ужин4,таб,5,FALSE)</f>
        <v>0</v>
      </c>
      <c r="AD319" s="33">
        <f>VLOOKUP(ужин5,таб,5,FALSE)</f>
        <v>0</v>
      </c>
      <c r="AE319" s="33">
        <f>VLOOKUP(ужин6,таб,5,FALSE)</f>
        <v>0</v>
      </c>
      <c r="AF319" s="33">
        <f>VLOOKUP(ужин7,таб,5,FALSE)</f>
        <v>0</v>
      </c>
      <c r="AG319" s="87">
        <f>VLOOKUP(ужин8,таб,5,FALSE)</f>
        <v>0</v>
      </c>
      <c r="AH319" s="253"/>
      <c r="AI319" s="139">
        <f>AK319/сред</f>
        <v>0</v>
      </c>
      <c r="AJ319" s="140"/>
      <c r="AK319" s="143">
        <f>SUM(G320:AG320)</f>
        <v>0</v>
      </c>
      <c r="AL319" s="143"/>
      <c r="AM319" s="131">
        <f>IF(AK319=0,0,Таблиця!BT411)</f>
        <v>0</v>
      </c>
      <c r="AN319" s="129">
        <f>AK319*AM319</f>
        <v>0</v>
      </c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</row>
    <row r="320" spans="1:66" ht="30.75" customHeight="1" hidden="1">
      <c r="A320" s="136"/>
      <c r="B320" s="137"/>
      <c r="C320" s="137"/>
      <c r="D320" s="137"/>
      <c r="E320" s="138"/>
      <c r="F320" s="107" t="s">
        <v>96</v>
      </c>
      <c r="G320" s="75">
        <f aca="true" t="shared" si="302" ref="G320:AG320">IF(G319=0,"",завтракл*G319/1000)</f>
      </c>
      <c r="H320" s="23">
        <f t="shared" si="302"/>
      </c>
      <c r="I320" s="23"/>
      <c r="J320" s="23">
        <f t="shared" si="302"/>
      </c>
      <c r="K320" s="23">
        <f t="shared" si="302"/>
      </c>
      <c r="L320" s="122">
        <f t="shared" si="302"/>
      </c>
      <c r="M320" s="75">
        <f t="shared" si="302"/>
      </c>
      <c r="N320" s="83">
        <f t="shared" si="302"/>
      </c>
      <c r="O320" s="75">
        <f t="shared" si="302"/>
      </c>
      <c r="P320" s="23">
        <f t="shared" si="302"/>
      </c>
      <c r="Q320" s="23">
        <f t="shared" si="302"/>
      </c>
      <c r="R320" s="23">
        <f t="shared" si="302"/>
      </c>
      <c r="S320" s="23">
        <f t="shared" si="302"/>
      </c>
      <c r="T320" s="23">
        <f t="shared" si="302"/>
      </c>
      <c r="U320" s="23">
        <f t="shared" si="302"/>
      </c>
      <c r="V320" s="83">
        <f t="shared" si="302"/>
      </c>
      <c r="W320" s="25">
        <f t="shared" si="302"/>
      </c>
      <c r="X320" s="23"/>
      <c r="Y320" s="83">
        <f t="shared" si="302"/>
      </c>
      <c r="Z320" s="25">
        <f t="shared" si="302"/>
      </c>
      <c r="AA320" s="23">
        <f t="shared" si="302"/>
      </c>
      <c r="AB320" s="23">
        <f t="shared" si="302"/>
      </c>
      <c r="AC320" s="23">
        <f t="shared" si="302"/>
      </c>
      <c r="AD320" s="23">
        <f t="shared" si="302"/>
      </c>
      <c r="AE320" s="23">
        <f t="shared" si="302"/>
      </c>
      <c r="AF320" s="23">
        <f t="shared" si="302"/>
      </c>
      <c r="AG320" s="83">
        <f t="shared" si="302"/>
      </c>
      <c r="AH320" s="254"/>
      <c r="AI320" s="139"/>
      <c r="AJ320" s="140"/>
      <c r="AK320" s="143"/>
      <c r="AL320" s="143"/>
      <c r="AM320" s="132"/>
      <c r="AN320" s="130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</row>
    <row r="321" spans="1:66" ht="30.75" customHeight="1" hidden="1">
      <c r="A321" s="133"/>
      <c r="B321" s="134"/>
      <c r="C321" s="134"/>
      <c r="D321" s="134"/>
      <c r="E321" s="135"/>
      <c r="F321" s="106" t="s">
        <v>95</v>
      </c>
      <c r="G321" s="71">
        <f>VLOOKUP(завтрак1,таб,5,FALSE)</f>
        <v>0</v>
      </c>
      <c r="H321" s="26">
        <f>VLOOKUP(завтрак2,таб,5,FALSE)</f>
        <v>0</v>
      </c>
      <c r="I321" s="26"/>
      <c r="J321" s="26">
        <f>VLOOKUP(завтрак4,таб,5,FALSE)</f>
        <v>0</v>
      </c>
      <c r="K321" s="26">
        <f>VLOOKUP(завтрак5,таб,5,FALSE)</f>
        <v>0</v>
      </c>
      <c r="L321" s="116">
        <f>VLOOKUP(завтрак6,таб,5,FALSE)</f>
        <v>0</v>
      </c>
      <c r="M321" s="71">
        <f>VLOOKUP(завтрак7,таб,5,FALSE)</f>
        <v>0</v>
      </c>
      <c r="N321" s="81">
        <f>VLOOKUP(завтрак8,таб,5,FALSE)</f>
        <v>0</v>
      </c>
      <c r="O321" s="34">
        <f>VLOOKUP(обед1,таб,5,FALSE)</f>
        <v>0</v>
      </c>
      <c r="P321" s="33">
        <f>VLOOKUP(обед2,таб,5,FALSE)</f>
        <v>0</v>
      </c>
      <c r="Q321" s="33">
        <f>VLOOKUP(обед3,таб,5,FALSE)</f>
        <v>0</v>
      </c>
      <c r="R321" s="33">
        <f>VLOOKUP(обед4,таб,5,FALSE)</f>
        <v>0</v>
      </c>
      <c r="S321" s="33">
        <f>VLOOKUP(обед5,таб,5,FALSE)</f>
        <v>0</v>
      </c>
      <c r="T321" s="33">
        <f>VLOOKUP(обед6,таб,5,FALSE)</f>
        <v>0</v>
      </c>
      <c r="U321" s="33">
        <f>VLOOKUP(обед7,таб,5,FALSE)</f>
        <v>0</v>
      </c>
      <c r="V321" s="87">
        <f>VLOOKUP(обед8,таб,5,FALSE)</f>
        <v>0</v>
      </c>
      <c r="W321" s="34">
        <f>VLOOKUP(полдник1,таб,5,FALSE)</f>
        <v>0</v>
      </c>
      <c r="X321" s="33"/>
      <c r="Y321" s="87">
        <f>VLOOKUP(полдник3,таб,5,FALSE)</f>
        <v>0</v>
      </c>
      <c r="Z321" s="34">
        <f>VLOOKUP(ужин1,таб,5,FALSE)</f>
        <v>0</v>
      </c>
      <c r="AA321" s="33">
        <f>VLOOKUP(ужин2,таб,5,FALSE)</f>
        <v>0</v>
      </c>
      <c r="AB321" s="33">
        <f>VLOOKUP(ужин3,таб,5,FALSE)</f>
        <v>0</v>
      </c>
      <c r="AC321" s="33">
        <f>VLOOKUP(ужин4,таб,5,FALSE)</f>
        <v>0</v>
      </c>
      <c r="AD321" s="33">
        <f>VLOOKUP(ужин5,таб,5,FALSE)</f>
        <v>0</v>
      </c>
      <c r="AE321" s="33">
        <f>VLOOKUP(ужин6,таб,5,FALSE)</f>
        <v>0</v>
      </c>
      <c r="AF321" s="33">
        <f>VLOOKUP(ужин7,таб,5,FALSE)</f>
        <v>0</v>
      </c>
      <c r="AG321" s="87">
        <f>VLOOKUP(ужин8,таб,5,FALSE)</f>
        <v>0</v>
      </c>
      <c r="AH321" s="253"/>
      <c r="AI321" s="139">
        <f>AK321/сред</f>
        <v>0</v>
      </c>
      <c r="AJ321" s="140"/>
      <c r="AK321" s="143">
        <f>SUM(G322:AG322)</f>
        <v>0</v>
      </c>
      <c r="AL321" s="143"/>
      <c r="AM321" s="131">
        <f>IF(AK321=0,0,Таблиця!BT413)</f>
        <v>0</v>
      </c>
      <c r="AN321" s="129">
        <f>AK321*AM321</f>
        <v>0</v>
      </c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</row>
    <row r="322" spans="1:66" ht="30.75" customHeight="1" hidden="1">
      <c r="A322" s="136"/>
      <c r="B322" s="137"/>
      <c r="C322" s="137"/>
      <c r="D322" s="137"/>
      <c r="E322" s="138"/>
      <c r="F322" s="107" t="s">
        <v>96</v>
      </c>
      <c r="G322" s="75">
        <f aca="true" t="shared" si="303" ref="G322:AG322">IF(G321=0,"",завтракл*G321/1000)</f>
      </c>
      <c r="H322" s="23">
        <f t="shared" si="303"/>
      </c>
      <c r="I322" s="23"/>
      <c r="J322" s="23">
        <f t="shared" si="303"/>
      </c>
      <c r="K322" s="23">
        <f t="shared" si="303"/>
      </c>
      <c r="L322" s="122">
        <f t="shared" si="303"/>
      </c>
      <c r="M322" s="75">
        <f t="shared" si="303"/>
      </c>
      <c r="N322" s="83">
        <f t="shared" si="303"/>
      </c>
      <c r="O322" s="75">
        <f t="shared" si="303"/>
      </c>
      <c r="P322" s="23">
        <f t="shared" si="303"/>
      </c>
      <c r="Q322" s="23">
        <f t="shared" si="303"/>
      </c>
      <c r="R322" s="23">
        <f t="shared" si="303"/>
      </c>
      <c r="S322" s="23">
        <f t="shared" si="303"/>
      </c>
      <c r="T322" s="23">
        <f t="shared" si="303"/>
      </c>
      <c r="U322" s="23">
        <f t="shared" si="303"/>
      </c>
      <c r="V322" s="83">
        <f t="shared" si="303"/>
      </c>
      <c r="W322" s="25">
        <f t="shared" si="303"/>
      </c>
      <c r="X322" s="23"/>
      <c r="Y322" s="83">
        <f t="shared" si="303"/>
      </c>
      <c r="Z322" s="25">
        <f t="shared" si="303"/>
      </c>
      <c r="AA322" s="23">
        <f t="shared" si="303"/>
      </c>
      <c r="AB322" s="23">
        <f t="shared" si="303"/>
      </c>
      <c r="AC322" s="23">
        <f t="shared" si="303"/>
      </c>
      <c r="AD322" s="23">
        <f t="shared" si="303"/>
      </c>
      <c r="AE322" s="23">
        <f t="shared" si="303"/>
      </c>
      <c r="AF322" s="23">
        <f t="shared" si="303"/>
      </c>
      <c r="AG322" s="83">
        <f t="shared" si="303"/>
      </c>
      <c r="AH322" s="254"/>
      <c r="AI322" s="139"/>
      <c r="AJ322" s="140"/>
      <c r="AK322" s="143"/>
      <c r="AL322" s="143"/>
      <c r="AM322" s="132"/>
      <c r="AN322" s="130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</row>
    <row r="323" spans="1:66" ht="30.75" customHeight="1" hidden="1">
      <c r="A323" s="133"/>
      <c r="B323" s="134"/>
      <c r="C323" s="134"/>
      <c r="D323" s="134"/>
      <c r="E323" s="135"/>
      <c r="F323" s="106" t="s">
        <v>95</v>
      </c>
      <c r="G323" s="71">
        <f>VLOOKUP(завтрак1,таб,5,FALSE)</f>
        <v>0</v>
      </c>
      <c r="H323" s="26">
        <f>VLOOKUP(завтрак2,таб,5,FALSE)</f>
        <v>0</v>
      </c>
      <c r="I323" s="26"/>
      <c r="J323" s="26">
        <f>VLOOKUP(завтрак4,таб,5,FALSE)</f>
        <v>0</v>
      </c>
      <c r="K323" s="26">
        <f>VLOOKUP(завтрак5,таб,5,FALSE)</f>
        <v>0</v>
      </c>
      <c r="L323" s="116">
        <f>VLOOKUP(завтрак6,таб,5,FALSE)</f>
        <v>0</v>
      </c>
      <c r="M323" s="71">
        <f>VLOOKUP(завтрак7,таб,5,FALSE)</f>
        <v>0</v>
      </c>
      <c r="N323" s="81">
        <f>VLOOKUP(завтрак8,таб,5,FALSE)</f>
        <v>0</v>
      </c>
      <c r="O323" s="34">
        <f>VLOOKUP(обед1,таб,5,FALSE)</f>
        <v>0</v>
      </c>
      <c r="P323" s="33">
        <f>VLOOKUP(обед2,таб,5,FALSE)</f>
        <v>0</v>
      </c>
      <c r="Q323" s="33">
        <f>VLOOKUP(обед3,таб,5,FALSE)</f>
        <v>0</v>
      </c>
      <c r="R323" s="33">
        <f>VLOOKUP(обед4,таб,5,FALSE)</f>
        <v>0</v>
      </c>
      <c r="S323" s="33">
        <f>VLOOKUP(обед5,таб,5,FALSE)</f>
        <v>0</v>
      </c>
      <c r="T323" s="33">
        <f>VLOOKUP(обед6,таб,5,FALSE)</f>
        <v>0</v>
      </c>
      <c r="U323" s="33">
        <f>VLOOKUP(обед7,таб,5,FALSE)</f>
        <v>0</v>
      </c>
      <c r="V323" s="87">
        <f>VLOOKUP(обед8,таб,5,FALSE)</f>
        <v>0</v>
      </c>
      <c r="W323" s="34">
        <f>VLOOKUP(полдник1,таб,5,FALSE)</f>
        <v>0</v>
      </c>
      <c r="X323" s="33"/>
      <c r="Y323" s="87">
        <f>VLOOKUP(полдник3,таб,5,FALSE)</f>
        <v>0</v>
      </c>
      <c r="Z323" s="34">
        <f>VLOOKUP(ужин1,таб,5,FALSE)</f>
        <v>0</v>
      </c>
      <c r="AA323" s="33">
        <f>VLOOKUP(ужин2,таб,5,FALSE)</f>
        <v>0</v>
      </c>
      <c r="AB323" s="33">
        <f>VLOOKUP(ужин3,таб,5,FALSE)</f>
        <v>0</v>
      </c>
      <c r="AC323" s="33">
        <f>VLOOKUP(ужин4,таб,5,FALSE)</f>
        <v>0</v>
      </c>
      <c r="AD323" s="33">
        <f>VLOOKUP(ужин5,таб,5,FALSE)</f>
        <v>0</v>
      </c>
      <c r="AE323" s="33">
        <f>VLOOKUP(ужин6,таб,5,FALSE)</f>
        <v>0</v>
      </c>
      <c r="AF323" s="33">
        <f>VLOOKUP(ужин7,таб,5,FALSE)</f>
        <v>0</v>
      </c>
      <c r="AG323" s="87">
        <f>VLOOKUP(ужин8,таб,5,FALSE)</f>
        <v>0</v>
      </c>
      <c r="AH323" s="253"/>
      <c r="AI323" s="139">
        <f>AK323/сред</f>
        <v>0</v>
      </c>
      <c r="AJ323" s="140"/>
      <c r="AK323" s="143">
        <f>SUM(G324:AG324)</f>
        <v>0</v>
      </c>
      <c r="AL323" s="143"/>
      <c r="AM323" s="131">
        <f>IF(AK323=0,0,Таблиця!BT415)</f>
        <v>0</v>
      </c>
      <c r="AN323" s="129">
        <f>AK323*AM323</f>
        <v>0</v>
      </c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</row>
    <row r="324" spans="1:66" ht="30.75" customHeight="1" hidden="1">
      <c r="A324" s="136"/>
      <c r="B324" s="137"/>
      <c r="C324" s="137"/>
      <c r="D324" s="137"/>
      <c r="E324" s="138"/>
      <c r="F324" s="107" t="s">
        <v>96</v>
      </c>
      <c r="G324" s="75">
        <f aca="true" t="shared" si="304" ref="G324:AG324">IF(G323=0,"",завтракл*G323/1000)</f>
      </c>
      <c r="H324" s="23">
        <f t="shared" si="304"/>
      </c>
      <c r="I324" s="23"/>
      <c r="J324" s="23">
        <f t="shared" si="304"/>
      </c>
      <c r="K324" s="23">
        <f t="shared" si="304"/>
      </c>
      <c r="L324" s="122">
        <f t="shared" si="304"/>
      </c>
      <c r="M324" s="75">
        <f t="shared" si="304"/>
      </c>
      <c r="N324" s="83">
        <f t="shared" si="304"/>
      </c>
      <c r="O324" s="75">
        <f t="shared" si="304"/>
      </c>
      <c r="P324" s="23">
        <f t="shared" si="304"/>
      </c>
      <c r="Q324" s="23">
        <f t="shared" si="304"/>
      </c>
      <c r="R324" s="23">
        <f t="shared" si="304"/>
      </c>
      <c r="S324" s="23">
        <f t="shared" si="304"/>
      </c>
      <c r="T324" s="23">
        <f t="shared" si="304"/>
      </c>
      <c r="U324" s="23">
        <f t="shared" si="304"/>
      </c>
      <c r="V324" s="83">
        <f t="shared" si="304"/>
      </c>
      <c r="W324" s="25">
        <f t="shared" si="304"/>
      </c>
      <c r="X324" s="23"/>
      <c r="Y324" s="83">
        <f t="shared" si="304"/>
      </c>
      <c r="Z324" s="25">
        <f t="shared" si="304"/>
      </c>
      <c r="AA324" s="23">
        <f t="shared" si="304"/>
      </c>
      <c r="AB324" s="23">
        <f t="shared" si="304"/>
      </c>
      <c r="AC324" s="23">
        <f t="shared" si="304"/>
      </c>
      <c r="AD324" s="23">
        <f t="shared" si="304"/>
      </c>
      <c r="AE324" s="23">
        <f t="shared" si="304"/>
      </c>
      <c r="AF324" s="23">
        <f t="shared" si="304"/>
      </c>
      <c r="AG324" s="83">
        <f t="shared" si="304"/>
      </c>
      <c r="AH324" s="254"/>
      <c r="AI324" s="139"/>
      <c r="AJ324" s="140"/>
      <c r="AK324" s="143"/>
      <c r="AL324" s="143"/>
      <c r="AM324" s="132"/>
      <c r="AN324" s="130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</row>
    <row r="325" spans="1:66" ht="30.75" customHeight="1" hidden="1">
      <c r="A325" s="133"/>
      <c r="B325" s="134"/>
      <c r="C325" s="134"/>
      <c r="D325" s="134"/>
      <c r="E325" s="135"/>
      <c r="F325" s="106" t="s">
        <v>95</v>
      </c>
      <c r="G325" s="71">
        <f>VLOOKUP(завтрак1,таб,5,FALSE)</f>
        <v>0</v>
      </c>
      <c r="H325" s="26">
        <f>VLOOKUP(завтрак2,таб,5,FALSE)</f>
        <v>0</v>
      </c>
      <c r="I325" s="26"/>
      <c r="J325" s="26">
        <f>VLOOKUP(завтрак4,таб,5,FALSE)</f>
        <v>0</v>
      </c>
      <c r="K325" s="26">
        <f>VLOOKUP(завтрак5,таб,5,FALSE)</f>
        <v>0</v>
      </c>
      <c r="L325" s="116">
        <f>VLOOKUP(завтрак6,таб,5,FALSE)</f>
        <v>0</v>
      </c>
      <c r="M325" s="71">
        <f>VLOOKUP(завтрак7,таб,5,FALSE)</f>
        <v>0</v>
      </c>
      <c r="N325" s="81">
        <f>VLOOKUP(завтрак8,таб,5,FALSE)</f>
        <v>0</v>
      </c>
      <c r="O325" s="34">
        <f>VLOOKUP(обед1,таб,5,FALSE)</f>
        <v>0</v>
      </c>
      <c r="P325" s="33">
        <f>VLOOKUP(обед2,таб,5,FALSE)</f>
        <v>0</v>
      </c>
      <c r="Q325" s="33">
        <f>VLOOKUP(обед3,таб,5,FALSE)</f>
        <v>0</v>
      </c>
      <c r="R325" s="33">
        <f>VLOOKUP(обед4,таб,5,FALSE)</f>
        <v>0</v>
      </c>
      <c r="S325" s="33">
        <f>VLOOKUP(обед5,таб,5,FALSE)</f>
        <v>0</v>
      </c>
      <c r="T325" s="33">
        <f>VLOOKUP(обед6,таб,5,FALSE)</f>
        <v>0</v>
      </c>
      <c r="U325" s="33">
        <f>VLOOKUP(обед7,таб,5,FALSE)</f>
        <v>0</v>
      </c>
      <c r="V325" s="87">
        <f>VLOOKUP(обед8,таб,5,FALSE)</f>
        <v>0</v>
      </c>
      <c r="W325" s="34">
        <f>VLOOKUP(полдник1,таб,5,FALSE)</f>
        <v>0</v>
      </c>
      <c r="X325" s="33"/>
      <c r="Y325" s="87">
        <f>VLOOKUP(полдник3,таб,5,FALSE)</f>
        <v>0</v>
      </c>
      <c r="Z325" s="34">
        <f>VLOOKUP(ужин1,таб,5,FALSE)</f>
        <v>0</v>
      </c>
      <c r="AA325" s="33">
        <f>VLOOKUP(ужин2,таб,5,FALSE)</f>
        <v>0</v>
      </c>
      <c r="AB325" s="33">
        <f>VLOOKUP(ужин3,таб,5,FALSE)</f>
        <v>0</v>
      </c>
      <c r="AC325" s="33">
        <f>VLOOKUP(ужин4,таб,5,FALSE)</f>
        <v>0</v>
      </c>
      <c r="AD325" s="33">
        <f>VLOOKUP(ужин5,таб,5,FALSE)</f>
        <v>0</v>
      </c>
      <c r="AE325" s="33">
        <f>VLOOKUP(ужин6,таб,5,FALSE)</f>
        <v>0</v>
      </c>
      <c r="AF325" s="33">
        <f>VLOOKUP(ужин7,таб,5,FALSE)</f>
        <v>0</v>
      </c>
      <c r="AG325" s="87">
        <f>VLOOKUP(ужин8,таб,5,FALSE)</f>
        <v>0</v>
      </c>
      <c r="AH325" s="253"/>
      <c r="AI325" s="139">
        <f>AK325/сред</f>
        <v>0</v>
      </c>
      <c r="AJ325" s="140"/>
      <c r="AK325" s="143">
        <f>SUM(G326:AG326)</f>
        <v>0</v>
      </c>
      <c r="AL325" s="143"/>
      <c r="AM325" s="131">
        <f>IF(AK325=0,0,Таблиця!BT417)</f>
        <v>0</v>
      </c>
      <c r="AN325" s="129">
        <f>AK325*AM325</f>
        <v>0</v>
      </c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</row>
    <row r="326" spans="1:66" ht="30.75" customHeight="1" hidden="1">
      <c r="A326" s="136"/>
      <c r="B326" s="137"/>
      <c r="C326" s="137"/>
      <c r="D326" s="137"/>
      <c r="E326" s="138"/>
      <c r="F326" s="107" t="s">
        <v>96</v>
      </c>
      <c r="G326" s="75">
        <f aca="true" t="shared" si="305" ref="G326:AG326">IF(G325=0,"",завтракл*G325/1000)</f>
      </c>
      <c r="H326" s="23">
        <f t="shared" si="305"/>
      </c>
      <c r="I326" s="23"/>
      <c r="J326" s="23">
        <f t="shared" si="305"/>
      </c>
      <c r="K326" s="23">
        <f t="shared" si="305"/>
      </c>
      <c r="L326" s="122">
        <f t="shared" si="305"/>
      </c>
      <c r="M326" s="75">
        <f t="shared" si="305"/>
      </c>
      <c r="N326" s="83">
        <f t="shared" si="305"/>
      </c>
      <c r="O326" s="75">
        <f t="shared" si="305"/>
      </c>
      <c r="P326" s="23">
        <f t="shared" si="305"/>
      </c>
      <c r="Q326" s="23">
        <f t="shared" si="305"/>
      </c>
      <c r="R326" s="23">
        <f t="shared" si="305"/>
      </c>
      <c r="S326" s="23">
        <f t="shared" si="305"/>
      </c>
      <c r="T326" s="23">
        <f t="shared" si="305"/>
      </c>
      <c r="U326" s="23">
        <f t="shared" si="305"/>
      </c>
      <c r="V326" s="83">
        <f t="shared" si="305"/>
      </c>
      <c r="W326" s="25">
        <f t="shared" si="305"/>
      </c>
      <c r="X326" s="23"/>
      <c r="Y326" s="83">
        <f t="shared" si="305"/>
      </c>
      <c r="Z326" s="25">
        <f t="shared" si="305"/>
      </c>
      <c r="AA326" s="23">
        <f t="shared" si="305"/>
      </c>
      <c r="AB326" s="23">
        <f t="shared" si="305"/>
      </c>
      <c r="AC326" s="23">
        <f t="shared" si="305"/>
      </c>
      <c r="AD326" s="23">
        <f t="shared" si="305"/>
      </c>
      <c r="AE326" s="23">
        <f t="shared" si="305"/>
      </c>
      <c r="AF326" s="23">
        <f t="shared" si="305"/>
      </c>
      <c r="AG326" s="83">
        <f t="shared" si="305"/>
      </c>
      <c r="AH326" s="254"/>
      <c r="AI326" s="139"/>
      <c r="AJ326" s="140"/>
      <c r="AK326" s="143"/>
      <c r="AL326" s="143"/>
      <c r="AM326" s="132"/>
      <c r="AN326" s="130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</row>
    <row r="327" spans="1:66" ht="30.75" customHeight="1" hidden="1">
      <c r="A327" s="133"/>
      <c r="B327" s="134"/>
      <c r="C327" s="134"/>
      <c r="D327" s="134"/>
      <c r="E327" s="135"/>
      <c r="F327" s="106" t="s">
        <v>95</v>
      </c>
      <c r="G327" s="71">
        <f>VLOOKUP(завтрак1,таб,5,FALSE)</f>
        <v>0</v>
      </c>
      <c r="H327" s="26">
        <f>VLOOKUP(завтрак2,таб,5,FALSE)</f>
        <v>0</v>
      </c>
      <c r="I327" s="26"/>
      <c r="J327" s="26">
        <f>VLOOKUP(завтрак4,таб,5,FALSE)</f>
        <v>0</v>
      </c>
      <c r="K327" s="26">
        <f>VLOOKUP(завтрак5,таб,5,FALSE)</f>
        <v>0</v>
      </c>
      <c r="L327" s="116">
        <f>VLOOKUP(завтрак6,таб,5,FALSE)</f>
        <v>0</v>
      </c>
      <c r="M327" s="71">
        <f>VLOOKUP(завтрак7,таб,5,FALSE)</f>
        <v>0</v>
      </c>
      <c r="N327" s="81">
        <f>VLOOKUP(завтрак8,таб,5,FALSE)</f>
        <v>0</v>
      </c>
      <c r="O327" s="34">
        <f>VLOOKUP(обед1,таб,5,FALSE)</f>
        <v>0</v>
      </c>
      <c r="P327" s="33">
        <f>VLOOKUP(обед2,таб,5,FALSE)</f>
        <v>0</v>
      </c>
      <c r="Q327" s="33">
        <f>VLOOKUP(обед3,таб,5,FALSE)</f>
        <v>0</v>
      </c>
      <c r="R327" s="33">
        <f>VLOOKUP(обед4,таб,5,FALSE)</f>
        <v>0</v>
      </c>
      <c r="S327" s="33">
        <f>VLOOKUP(обед5,таб,5,FALSE)</f>
        <v>0</v>
      </c>
      <c r="T327" s="33">
        <f>VLOOKUP(обед6,таб,5,FALSE)</f>
        <v>0</v>
      </c>
      <c r="U327" s="33">
        <f>VLOOKUP(обед7,таб,5,FALSE)</f>
        <v>0</v>
      </c>
      <c r="V327" s="87">
        <f>VLOOKUP(обед8,таб,5,FALSE)</f>
        <v>0</v>
      </c>
      <c r="W327" s="34">
        <f>VLOOKUP(полдник1,таб,5,FALSE)</f>
        <v>0</v>
      </c>
      <c r="X327" s="33"/>
      <c r="Y327" s="87">
        <f>VLOOKUP(полдник3,таб,5,FALSE)</f>
        <v>0</v>
      </c>
      <c r="Z327" s="34">
        <f>VLOOKUP(ужин1,таб,5,FALSE)</f>
        <v>0</v>
      </c>
      <c r="AA327" s="33">
        <f>VLOOKUP(ужин2,таб,5,FALSE)</f>
        <v>0</v>
      </c>
      <c r="AB327" s="33">
        <f>VLOOKUP(ужин3,таб,5,FALSE)</f>
        <v>0</v>
      </c>
      <c r="AC327" s="33">
        <f>VLOOKUP(ужин4,таб,5,FALSE)</f>
        <v>0</v>
      </c>
      <c r="AD327" s="33">
        <f>VLOOKUP(ужин5,таб,5,FALSE)</f>
        <v>0</v>
      </c>
      <c r="AE327" s="33">
        <f>VLOOKUP(ужин6,таб,5,FALSE)</f>
        <v>0</v>
      </c>
      <c r="AF327" s="33">
        <f>VLOOKUP(ужин7,таб,5,FALSE)</f>
        <v>0</v>
      </c>
      <c r="AG327" s="87">
        <f>VLOOKUP(ужин8,таб,5,FALSE)</f>
        <v>0</v>
      </c>
      <c r="AH327" s="253"/>
      <c r="AI327" s="139">
        <f>AK327/сред</f>
        <v>0</v>
      </c>
      <c r="AJ327" s="140"/>
      <c r="AK327" s="143">
        <f>SUM(G328:AG328)</f>
        <v>0</v>
      </c>
      <c r="AL327" s="143"/>
      <c r="AM327" s="131">
        <f>IF(AK327=0,0,Таблиця!BT419)</f>
        <v>0</v>
      </c>
      <c r="AN327" s="129">
        <f>AK327*AM327</f>
        <v>0</v>
      </c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</row>
    <row r="328" spans="1:66" ht="30.75" customHeight="1" hidden="1">
      <c r="A328" s="136"/>
      <c r="B328" s="137"/>
      <c r="C328" s="137"/>
      <c r="D328" s="137"/>
      <c r="E328" s="138"/>
      <c r="F328" s="107" t="s">
        <v>96</v>
      </c>
      <c r="G328" s="75">
        <f aca="true" t="shared" si="306" ref="G328:AG328">IF(G327=0,"",завтракл*G327/1000)</f>
      </c>
      <c r="H328" s="23">
        <f t="shared" si="306"/>
      </c>
      <c r="I328" s="23"/>
      <c r="J328" s="23">
        <f t="shared" si="306"/>
      </c>
      <c r="K328" s="23">
        <f t="shared" si="306"/>
      </c>
      <c r="L328" s="122">
        <f t="shared" si="306"/>
      </c>
      <c r="M328" s="75">
        <f t="shared" si="306"/>
      </c>
      <c r="N328" s="83">
        <f t="shared" si="306"/>
      </c>
      <c r="O328" s="75">
        <f t="shared" si="306"/>
      </c>
      <c r="P328" s="23">
        <f t="shared" si="306"/>
      </c>
      <c r="Q328" s="23">
        <f t="shared" si="306"/>
      </c>
      <c r="R328" s="23">
        <f t="shared" si="306"/>
      </c>
      <c r="S328" s="23">
        <f t="shared" si="306"/>
      </c>
      <c r="T328" s="23">
        <f t="shared" si="306"/>
      </c>
      <c r="U328" s="23">
        <f t="shared" si="306"/>
      </c>
      <c r="V328" s="83">
        <f t="shared" si="306"/>
      </c>
      <c r="W328" s="25">
        <f t="shared" si="306"/>
      </c>
      <c r="X328" s="23"/>
      <c r="Y328" s="83">
        <f t="shared" si="306"/>
      </c>
      <c r="Z328" s="25">
        <f t="shared" si="306"/>
      </c>
      <c r="AA328" s="23">
        <f t="shared" si="306"/>
      </c>
      <c r="AB328" s="23">
        <f t="shared" si="306"/>
      </c>
      <c r="AC328" s="23">
        <f t="shared" si="306"/>
      </c>
      <c r="AD328" s="23">
        <f t="shared" si="306"/>
      </c>
      <c r="AE328" s="23">
        <f t="shared" si="306"/>
      </c>
      <c r="AF328" s="23">
        <f t="shared" si="306"/>
      </c>
      <c r="AG328" s="83">
        <f t="shared" si="306"/>
      </c>
      <c r="AH328" s="254"/>
      <c r="AI328" s="139"/>
      <c r="AJ328" s="140"/>
      <c r="AK328" s="143"/>
      <c r="AL328" s="143"/>
      <c r="AM328" s="132"/>
      <c r="AN328" s="130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</row>
    <row r="329" spans="1:66" ht="30.75" customHeight="1" hidden="1">
      <c r="A329" s="133"/>
      <c r="B329" s="134"/>
      <c r="C329" s="134"/>
      <c r="D329" s="134"/>
      <c r="E329" s="135"/>
      <c r="F329" s="106" t="s">
        <v>95</v>
      </c>
      <c r="G329" s="71">
        <f>VLOOKUP(завтрак1,таб,5,FALSE)</f>
        <v>0</v>
      </c>
      <c r="H329" s="26">
        <f>VLOOKUP(завтрак2,таб,5,FALSE)</f>
        <v>0</v>
      </c>
      <c r="I329" s="26"/>
      <c r="J329" s="26">
        <f>VLOOKUP(завтрак4,таб,5,FALSE)</f>
        <v>0</v>
      </c>
      <c r="K329" s="26">
        <f>VLOOKUP(завтрак5,таб,5,FALSE)</f>
        <v>0</v>
      </c>
      <c r="L329" s="116">
        <f>VLOOKUP(завтрак6,таб,5,FALSE)</f>
        <v>0</v>
      </c>
      <c r="M329" s="71">
        <f>VLOOKUP(завтрак7,таб,5,FALSE)</f>
        <v>0</v>
      </c>
      <c r="N329" s="81">
        <f>VLOOKUP(завтрак8,таб,5,FALSE)</f>
        <v>0</v>
      </c>
      <c r="O329" s="34">
        <f>VLOOKUP(обед1,таб,5,FALSE)</f>
        <v>0</v>
      </c>
      <c r="P329" s="33">
        <f>VLOOKUP(обед2,таб,5,FALSE)</f>
        <v>0</v>
      </c>
      <c r="Q329" s="33">
        <f>VLOOKUP(обед3,таб,5,FALSE)</f>
        <v>0</v>
      </c>
      <c r="R329" s="33">
        <f>VLOOKUP(обед4,таб,5,FALSE)</f>
        <v>0</v>
      </c>
      <c r="S329" s="33">
        <f>VLOOKUP(обед5,таб,5,FALSE)</f>
        <v>0</v>
      </c>
      <c r="T329" s="33">
        <f>VLOOKUP(обед6,таб,5,FALSE)</f>
        <v>0</v>
      </c>
      <c r="U329" s="33">
        <f>VLOOKUP(обед7,таб,5,FALSE)</f>
        <v>0</v>
      </c>
      <c r="V329" s="87">
        <f>VLOOKUP(обед8,таб,5,FALSE)</f>
        <v>0</v>
      </c>
      <c r="W329" s="34">
        <f>VLOOKUP(полдник1,таб,5,FALSE)</f>
        <v>0</v>
      </c>
      <c r="X329" s="33"/>
      <c r="Y329" s="87">
        <f>VLOOKUP(полдник3,таб,5,FALSE)</f>
        <v>0</v>
      </c>
      <c r="Z329" s="34">
        <f>VLOOKUP(ужин1,таб,5,FALSE)</f>
        <v>0</v>
      </c>
      <c r="AA329" s="33">
        <f>VLOOKUP(ужин2,таб,5,FALSE)</f>
        <v>0</v>
      </c>
      <c r="AB329" s="33">
        <f>VLOOKUP(ужин3,таб,5,FALSE)</f>
        <v>0</v>
      </c>
      <c r="AC329" s="33">
        <f>VLOOKUP(ужин4,таб,5,FALSE)</f>
        <v>0</v>
      </c>
      <c r="AD329" s="33">
        <f>VLOOKUP(ужин5,таб,5,FALSE)</f>
        <v>0</v>
      </c>
      <c r="AE329" s="33">
        <f>VLOOKUP(ужин6,таб,5,FALSE)</f>
        <v>0</v>
      </c>
      <c r="AF329" s="33">
        <f>VLOOKUP(ужин7,таб,5,FALSE)</f>
        <v>0</v>
      </c>
      <c r="AG329" s="87">
        <f>VLOOKUP(ужин8,таб,5,FALSE)</f>
        <v>0</v>
      </c>
      <c r="AH329" s="253"/>
      <c r="AI329" s="139">
        <f>AK329/сред</f>
        <v>0</v>
      </c>
      <c r="AJ329" s="140"/>
      <c r="AK329" s="143">
        <f>SUM(G330:AG330)</f>
        <v>0</v>
      </c>
      <c r="AL329" s="143"/>
      <c r="AM329" s="131">
        <f>IF(AK329=0,0,Таблиця!BT421)</f>
        <v>0</v>
      </c>
      <c r="AN329" s="129">
        <f>AK329*AM329</f>
        <v>0</v>
      </c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</row>
    <row r="330" spans="1:66" ht="30.75" customHeight="1" hidden="1">
      <c r="A330" s="136"/>
      <c r="B330" s="137"/>
      <c r="C330" s="137"/>
      <c r="D330" s="137"/>
      <c r="E330" s="138"/>
      <c r="F330" s="107" t="s">
        <v>96</v>
      </c>
      <c r="G330" s="75">
        <f aca="true" t="shared" si="307" ref="G330:AG330">IF(G329=0,"",завтракл*G329/1000)</f>
      </c>
      <c r="H330" s="23">
        <f t="shared" si="307"/>
      </c>
      <c r="I330" s="23"/>
      <c r="J330" s="23">
        <f t="shared" si="307"/>
      </c>
      <c r="K330" s="23">
        <f t="shared" si="307"/>
      </c>
      <c r="L330" s="122">
        <f t="shared" si="307"/>
      </c>
      <c r="M330" s="75">
        <f t="shared" si="307"/>
      </c>
      <c r="N330" s="83">
        <f t="shared" si="307"/>
      </c>
      <c r="O330" s="75">
        <f t="shared" si="307"/>
      </c>
      <c r="P330" s="23">
        <f t="shared" si="307"/>
      </c>
      <c r="Q330" s="23">
        <f t="shared" si="307"/>
      </c>
      <c r="R330" s="23">
        <f t="shared" si="307"/>
      </c>
      <c r="S330" s="23">
        <f t="shared" si="307"/>
      </c>
      <c r="T330" s="23">
        <f t="shared" si="307"/>
      </c>
      <c r="U330" s="23">
        <f t="shared" si="307"/>
      </c>
      <c r="V330" s="83">
        <f t="shared" si="307"/>
      </c>
      <c r="W330" s="25">
        <f t="shared" si="307"/>
      </c>
      <c r="X330" s="23"/>
      <c r="Y330" s="83">
        <f t="shared" si="307"/>
      </c>
      <c r="Z330" s="25">
        <f t="shared" si="307"/>
      </c>
      <c r="AA330" s="23">
        <f t="shared" si="307"/>
      </c>
      <c r="AB330" s="23">
        <f t="shared" si="307"/>
      </c>
      <c r="AC330" s="23">
        <f t="shared" si="307"/>
      </c>
      <c r="AD330" s="23">
        <f t="shared" si="307"/>
      </c>
      <c r="AE330" s="23">
        <f t="shared" si="307"/>
      </c>
      <c r="AF330" s="23">
        <f t="shared" si="307"/>
      </c>
      <c r="AG330" s="83">
        <f t="shared" si="307"/>
      </c>
      <c r="AH330" s="254"/>
      <c r="AI330" s="139"/>
      <c r="AJ330" s="140"/>
      <c r="AK330" s="143"/>
      <c r="AL330" s="143"/>
      <c r="AM330" s="132"/>
      <c r="AN330" s="130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</row>
    <row r="331" spans="1:66" ht="30.75" customHeight="1" hidden="1">
      <c r="A331" s="133"/>
      <c r="B331" s="134"/>
      <c r="C331" s="134"/>
      <c r="D331" s="134"/>
      <c r="E331" s="135"/>
      <c r="F331" s="106" t="s">
        <v>95</v>
      </c>
      <c r="G331" s="71">
        <f>VLOOKUP(завтрак1,таб,5,FALSE)</f>
        <v>0</v>
      </c>
      <c r="H331" s="26">
        <f>VLOOKUP(завтрак2,таб,5,FALSE)</f>
        <v>0</v>
      </c>
      <c r="I331" s="26"/>
      <c r="J331" s="26">
        <f>VLOOKUP(завтрак4,таб,5,FALSE)</f>
        <v>0</v>
      </c>
      <c r="K331" s="26">
        <f>VLOOKUP(завтрак5,таб,5,FALSE)</f>
        <v>0</v>
      </c>
      <c r="L331" s="116">
        <f>VLOOKUP(завтрак6,таб,5,FALSE)</f>
        <v>0</v>
      </c>
      <c r="M331" s="71">
        <f>VLOOKUP(завтрак7,таб,5,FALSE)</f>
        <v>0</v>
      </c>
      <c r="N331" s="81">
        <f>VLOOKUP(завтрак8,таб,5,FALSE)</f>
        <v>0</v>
      </c>
      <c r="O331" s="34">
        <f>VLOOKUP(обед1,таб,5,FALSE)</f>
        <v>0</v>
      </c>
      <c r="P331" s="33">
        <f>VLOOKUP(обед2,таб,5,FALSE)</f>
        <v>0</v>
      </c>
      <c r="Q331" s="33">
        <f>VLOOKUP(обед3,таб,5,FALSE)</f>
        <v>0</v>
      </c>
      <c r="R331" s="33">
        <f>VLOOKUP(обед4,таб,5,FALSE)</f>
        <v>0</v>
      </c>
      <c r="S331" s="33">
        <f>VLOOKUP(обед5,таб,5,FALSE)</f>
        <v>0</v>
      </c>
      <c r="T331" s="33">
        <f>VLOOKUP(обед6,таб,5,FALSE)</f>
        <v>0</v>
      </c>
      <c r="U331" s="33">
        <f>VLOOKUP(обед7,таб,5,FALSE)</f>
        <v>0</v>
      </c>
      <c r="V331" s="87">
        <f>VLOOKUP(обед8,таб,5,FALSE)</f>
        <v>0</v>
      </c>
      <c r="W331" s="34">
        <f>VLOOKUP(полдник1,таб,5,FALSE)</f>
        <v>0</v>
      </c>
      <c r="X331" s="33"/>
      <c r="Y331" s="87">
        <f>VLOOKUP(полдник3,таб,5,FALSE)</f>
        <v>0</v>
      </c>
      <c r="Z331" s="34">
        <f>VLOOKUP(ужин1,таб,5,FALSE)</f>
        <v>0</v>
      </c>
      <c r="AA331" s="33">
        <f>VLOOKUP(ужин2,таб,5,FALSE)</f>
        <v>0</v>
      </c>
      <c r="AB331" s="33">
        <f>VLOOKUP(ужин3,таб,5,FALSE)</f>
        <v>0</v>
      </c>
      <c r="AC331" s="33">
        <f>VLOOKUP(ужин4,таб,5,FALSE)</f>
        <v>0</v>
      </c>
      <c r="AD331" s="33">
        <f>VLOOKUP(ужин5,таб,5,FALSE)</f>
        <v>0</v>
      </c>
      <c r="AE331" s="33">
        <f>VLOOKUP(ужин6,таб,5,FALSE)</f>
        <v>0</v>
      </c>
      <c r="AF331" s="33">
        <f>VLOOKUP(ужин7,таб,5,FALSE)</f>
        <v>0</v>
      </c>
      <c r="AG331" s="87">
        <f>VLOOKUP(ужин8,таб,5,FALSE)</f>
        <v>0</v>
      </c>
      <c r="AH331" s="253"/>
      <c r="AI331" s="139">
        <f>AK331/сред</f>
        <v>0</v>
      </c>
      <c r="AJ331" s="140"/>
      <c r="AK331" s="143">
        <f>SUM(G332:AG332)</f>
        <v>0</v>
      </c>
      <c r="AL331" s="143"/>
      <c r="AM331" s="131">
        <f>IF(AK331=0,0,Таблиця!BT423)</f>
        <v>0</v>
      </c>
      <c r="AN331" s="129">
        <f>AK331*AM331</f>
        <v>0</v>
      </c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</row>
    <row r="332" spans="1:66" ht="30.75" customHeight="1" hidden="1">
      <c r="A332" s="136"/>
      <c r="B332" s="137"/>
      <c r="C332" s="137"/>
      <c r="D332" s="137"/>
      <c r="E332" s="138"/>
      <c r="F332" s="107" t="s">
        <v>96</v>
      </c>
      <c r="G332" s="75">
        <f aca="true" t="shared" si="308" ref="G332:AG332">IF(G331=0,"",завтракл*G331/1000)</f>
      </c>
      <c r="H332" s="23">
        <f t="shared" si="308"/>
      </c>
      <c r="I332" s="23"/>
      <c r="J332" s="23">
        <f t="shared" si="308"/>
      </c>
      <c r="K332" s="23">
        <f t="shared" si="308"/>
      </c>
      <c r="L332" s="122">
        <f t="shared" si="308"/>
      </c>
      <c r="M332" s="75">
        <f t="shared" si="308"/>
      </c>
      <c r="N332" s="83">
        <f t="shared" si="308"/>
      </c>
      <c r="O332" s="75">
        <f t="shared" si="308"/>
      </c>
      <c r="P332" s="23">
        <f t="shared" si="308"/>
      </c>
      <c r="Q332" s="23">
        <f t="shared" si="308"/>
      </c>
      <c r="R332" s="23">
        <f t="shared" si="308"/>
      </c>
      <c r="S332" s="23">
        <f t="shared" si="308"/>
      </c>
      <c r="T332" s="23">
        <f t="shared" si="308"/>
      </c>
      <c r="U332" s="23">
        <f t="shared" si="308"/>
      </c>
      <c r="V332" s="83">
        <f t="shared" si="308"/>
      </c>
      <c r="W332" s="25">
        <f t="shared" si="308"/>
      </c>
      <c r="X332" s="23"/>
      <c r="Y332" s="83">
        <f t="shared" si="308"/>
      </c>
      <c r="Z332" s="25">
        <f t="shared" si="308"/>
      </c>
      <c r="AA332" s="23">
        <f t="shared" si="308"/>
      </c>
      <c r="AB332" s="23">
        <f t="shared" si="308"/>
      </c>
      <c r="AC332" s="23">
        <f t="shared" si="308"/>
      </c>
      <c r="AD332" s="23">
        <f t="shared" si="308"/>
      </c>
      <c r="AE332" s="23">
        <f t="shared" si="308"/>
      </c>
      <c r="AF332" s="23">
        <f t="shared" si="308"/>
      </c>
      <c r="AG332" s="83">
        <f t="shared" si="308"/>
      </c>
      <c r="AH332" s="254"/>
      <c r="AI332" s="139"/>
      <c r="AJ332" s="140"/>
      <c r="AK332" s="143"/>
      <c r="AL332" s="143"/>
      <c r="AM332" s="132"/>
      <c r="AN332" s="130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</row>
    <row r="333" spans="1:66" ht="30.75" customHeight="1" hidden="1">
      <c r="A333" s="133"/>
      <c r="B333" s="134"/>
      <c r="C333" s="134"/>
      <c r="D333" s="134"/>
      <c r="E333" s="135"/>
      <c r="F333" s="106" t="s">
        <v>95</v>
      </c>
      <c r="G333" s="71">
        <f>VLOOKUP(завтрак1,таб,5,FALSE)</f>
        <v>0</v>
      </c>
      <c r="H333" s="26">
        <f>VLOOKUP(завтрак2,таб,5,FALSE)</f>
        <v>0</v>
      </c>
      <c r="I333" s="26"/>
      <c r="J333" s="26">
        <f>VLOOKUP(завтрак4,таб,5,FALSE)</f>
        <v>0</v>
      </c>
      <c r="K333" s="26">
        <f>VLOOKUP(завтрак5,таб,5,FALSE)</f>
        <v>0</v>
      </c>
      <c r="L333" s="116">
        <f>VLOOKUP(завтрак6,таб,5,FALSE)</f>
        <v>0</v>
      </c>
      <c r="M333" s="71">
        <f>VLOOKUP(завтрак7,таб,5,FALSE)</f>
        <v>0</v>
      </c>
      <c r="N333" s="81">
        <f>VLOOKUP(завтрак8,таб,5,FALSE)</f>
        <v>0</v>
      </c>
      <c r="O333" s="34">
        <f>VLOOKUP(обед1,таб,5,FALSE)</f>
        <v>0</v>
      </c>
      <c r="P333" s="33">
        <f>VLOOKUP(обед2,таб,5,FALSE)</f>
        <v>0</v>
      </c>
      <c r="Q333" s="33">
        <f>VLOOKUP(обед3,таб,5,FALSE)</f>
        <v>0</v>
      </c>
      <c r="R333" s="33">
        <f>VLOOKUP(обед4,таб,5,FALSE)</f>
        <v>0</v>
      </c>
      <c r="S333" s="33">
        <f>VLOOKUP(обед5,таб,5,FALSE)</f>
        <v>0</v>
      </c>
      <c r="T333" s="33">
        <f>VLOOKUP(обед6,таб,5,FALSE)</f>
        <v>0</v>
      </c>
      <c r="U333" s="33">
        <f>VLOOKUP(обед7,таб,5,FALSE)</f>
        <v>0</v>
      </c>
      <c r="V333" s="87">
        <f>VLOOKUP(обед8,таб,5,FALSE)</f>
        <v>0</v>
      </c>
      <c r="W333" s="34">
        <f>VLOOKUP(полдник1,таб,5,FALSE)</f>
        <v>0</v>
      </c>
      <c r="X333" s="33"/>
      <c r="Y333" s="87">
        <f>VLOOKUP(полдник3,таб,5,FALSE)</f>
        <v>0</v>
      </c>
      <c r="Z333" s="34">
        <f>VLOOKUP(ужин1,таб,5,FALSE)</f>
        <v>0</v>
      </c>
      <c r="AA333" s="33">
        <f>VLOOKUP(ужин2,таб,5,FALSE)</f>
        <v>0</v>
      </c>
      <c r="AB333" s="33">
        <f>VLOOKUP(ужин3,таб,5,FALSE)</f>
        <v>0</v>
      </c>
      <c r="AC333" s="33">
        <f>VLOOKUP(ужин4,таб,5,FALSE)</f>
        <v>0</v>
      </c>
      <c r="AD333" s="33">
        <f>VLOOKUP(ужин5,таб,5,FALSE)</f>
        <v>0</v>
      </c>
      <c r="AE333" s="33">
        <f>VLOOKUP(ужин6,таб,5,FALSE)</f>
        <v>0</v>
      </c>
      <c r="AF333" s="33">
        <f>VLOOKUP(ужин7,таб,5,FALSE)</f>
        <v>0</v>
      </c>
      <c r="AG333" s="87">
        <f>VLOOKUP(ужин8,таб,5,FALSE)</f>
        <v>0</v>
      </c>
      <c r="AH333" s="253"/>
      <c r="AI333" s="139">
        <f>AK333/сред</f>
        <v>0</v>
      </c>
      <c r="AJ333" s="140"/>
      <c r="AK333" s="143">
        <f>SUM(G334:AG334)</f>
        <v>0</v>
      </c>
      <c r="AL333" s="143"/>
      <c r="AM333" s="131">
        <f>IF(AK333=0,0,Таблиця!BT425)</f>
        <v>0</v>
      </c>
      <c r="AN333" s="129">
        <f>AK333*AM333</f>
        <v>0</v>
      </c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</row>
    <row r="334" spans="1:66" ht="30.75" customHeight="1" hidden="1">
      <c r="A334" s="136"/>
      <c r="B334" s="137"/>
      <c r="C334" s="137"/>
      <c r="D334" s="137"/>
      <c r="E334" s="138"/>
      <c r="F334" s="107" t="s">
        <v>96</v>
      </c>
      <c r="G334" s="75">
        <f aca="true" t="shared" si="309" ref="G334:AG334">IF(G333=0,"",завтракл*G333/1000)</f>
      </c>
      <c r="H334" s="23">
        <f t="shared" si="309"/>
      </c>
      <c r="I334" s="23"/>
      <c r="J334" s="23">
        <f t="shared" si="309"/>
      </c>
      <c r="K334" s="23">
        <f t="shared" si="309"/>
      </c>
      <c r="L334" s="122">
        <f t="shared" si="309"/>
      </c>
      <c r="M334" s="75">
        <f t="shared" si="309"/>
      </c>
      <c r="N334" s="83">
        <f t="shared" si="309"/>
      </c>
      <c r="O334" s="75">
        <f t="shared" si="309"/>
      </c>
      <c r="P334" s="23">
        <f t="shared" si="309"/>
      </c>
      <c r="Q334" s="23">
        <f t="shared" si="309"/>
      </c>
      <c r="R334" s="23">
        <f t="shared" si="309"/>
      </c>
      <c r="S334" s="23">
        <f t="shared" si="309"/>
      </c>
      <c r="T334" s="23">
        <f t="shared" si="309"/>
      </c>
      <c r="U334" s="23">
        <f t="shared" si="309"/>
      </c>
      <c r="V334" s="83">
        <f t="shared" si="309"/>
      </c>
      <c r="W334" s="25">
        <f t="shared" si="309"/>
      </c>
      <c r="X334" s="23"/>
      <c r="Y334" s="83">
        <f t="shared" si="309"/>
      </c>
      <c r="Z334" s="25">
        <f t="shared" si="309"/>
      </c>
      <c r="AA334" s="23">
        <f t="shared" si="309"/>
      </c>
      <c r="AB334" s="23">
        <f t="shared" si="309"/>
      </c>
      <c r="AC334" s="23">
        <f t="shared" si="309"/>
      </c>
      <c r="AD334" s="23">
        <f t="shared" si="309"/>
      </c>
      <c r="AE334" s="23">
        <f t="shared" si="309"/>
      </c>
      <c r="AF334" s="23">
        <f t="shared" si="309"/>
      </c>
      <c r="AG334" s="83">
        <f t="shared" si="309"/>
      </c>
      <c r="AH334" s="254"/>
      <c r="AI334" s="139"/>
      <c r="AJ334" s="140"/>
      <c r="AK334" s="143"/>
      <c r="AL334" s="143"/>
      <c r="AM334" s="132"/>
      <c r="AN334" s="130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</row>
    <row r="335" spans="1:66" ht="30.75" customHeight="1" hidden="1">
      <c r="A335" s="133"/>
      <c r="B335" s="134"/>
      <c r="C335" s="134"/>
      <c r="D335" s="134"/>
      <c r="E335" s="135"/>
      <c r="F335" s="106" t="s">
        <v>95</v>
      </c>
      <c r="G335" s="71">
        <f>VLOOKUP(завтрак1,таб,5,FALSE)</f>
        <v>0</v>
      </c>
      <c r="H335" s="26">
        <f>VLOOKUP(завтрак2,таб,5,FALSE)</f>
        <v>0</v>
      </c>
      <c r="I335" s="26"/>
      <c r="J335" s="26">
        <f>VLOOKUP(завтрак4,таб,5,FALSE)</f>
        <v>0</v>
      </c>
      <c r="K335" s="26">
        <f>VLOOKUP(завтрак5,таб,5,FALSE)</f>
        <v>0</v>
      </c>
      <c r="L335" s="116">
        <f>VLOOKUP(завтрак6,таб,5,FALSE)</f>
        <v>0</v>
      </c>
      <c r="M335" s="71">
        <f>VLOOKUP(завтрак7,таб,5,FALSE)</f>
        <v>0</v>
      </c>
      <c r="N335" s="81">
        <f>VLOOKUP(завтрак8,таб,5,FALSE)</f>
        <v>0</v>
      </c>
      <c r="O335" s="34">
        <f>VLOOKUP(обед1,таб,5,FALSE)</f>
        <v>0</v>
      </c>
      <c r="P335" s="33">
        <f>VLOOKUP(обед2,таб,5,FALSE)</f>
        <v>0</v>
      </c>
      <c r="Q335" s="33">
        <f>VLOOKUP(обед3,таб,5,FALSE)</f>
        <v>0</v>
      </c>
      <c r="R335" s="33">
        <f>VLOOKUP(обед4,таб,5,FALSE)</f>
        <v>0</v>
      </c>
      <c r="S335" s="33">
        <f>VLOOKUP(обед5,таб,5,FALSE)</f>
        <v>0</v>
      </c>
      <c r="T335" s="33">
        <f>VLOOKUP(обед6,таб,5,FALSE)</f>
        <v>0</v>
      </c>
      <c r="U335" s="33">
        <f>VLOOKUP(обед7,таб,5,FALSE)</f>
        <v>0</v>
      </c>
      <c r="V335" s="87">
        <f>VLOOKUP(обед8,таб,5,FALSE)</f>
        <v>0</v>
      </c>
      <c r="W335" s="34">
        <f>VLOOKUP(полдник1,таб,5,FALSE)</f>
        <v>0</v>
      </c>
      <c r="X335" s="33"/>
      <c r="Y335" s="87">
        <f>VLOOKUP(полдник3,таб,5,FALSE)</f>
        <v>0</v>
      </c>
      <c r="Z335" s="34">
        <f>VLOOKUP(ужин1,таб,5,FALSE)</f>
        <v>0</v>
      </c>
      <c r="AA335" s="33">
        <f>VLOOKUP(ужин2,таб,5,FALSE)</f>
        <v>0</v>
      </c>
      <c r="AB335" s="33">
        <f>VLOOKUP(ужин3,таб,5,FALSE)</f>
        <v>0</v>
      </c>
      <c r="AC335" s="33">
        <f>VLOOKUP(ужин4,таб,5,FALSE)</f>
        <v>0</v>
      </c>
      <c r="AD335" s="33">
        <f>VLOOKUP(ужин5,таб,5,FALSE)</f>
        <v>0</v>
      </c>
      <c r="AE335" s="33">
        <f>VLOOKUP(ужин6,таб,5,FALSE)</f>
        <v>0</v>
      </c>
      <c r="AF335" s="33">
        <f>VLOOKUP(ужин7,таб,5,FALSE)</f>
        <v>0</v>
      </c>
      <c r="AG335" s="87">
        <f>VLOOKUP(ужин8,таб,5,FALSE)</f>
        <v>0</v>
      </c>
      <c r="AH335" s="253"/>
      <c r="AI335" s="139">
        <f>AK335/сред</f>
        <v>0</v>
      </c>
      <c r="AJ335" s="140"/>
      <c r="AK335" s="143">
        <f>SUM(G336:AG336)</f>
        <v>0</v>
      </c>
      <c r="AL335" s="143"/>
      <c r="AM335" s="131">
        <f>IF(AK335=0,0,Таблиця!BT427)</f>
        <v>0</v>
      </c>
      <c r="AN335" s="129">
        <f>AK335*AM335</f>
        <v>0</v>
      </c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</row>
    <row r="336" spans="1:66" ht="30.75" customHeight="1" hidden="1">
      <c r="A336" s="136"/>
      <c r="B336" s="137"/>
      <c r="C336" s="137"/>
      <c r="D336" s="137"/>
      <c r="E336" s="138"/>
      <c r="F336" s="107" t="s">
        <v>96</v>
      </c>
      <c r="G336" s="75">
        <f aca="true" t="shared" si="310" ref="G336:AG336">IF(G335=0,"",завтракл*G335/1000)</f>
      </c>
      <c r="H336" s="23">
        <f t="shared" si="310"/>
      </c>
      <c r="I336" s="23"/>
      <c r="J336" s="23">
        <f t="shared" si="310"/>
      </c>
      <c r="K336" s="23">
        <f t="shared" si="310"/>
      </c>
      <c r="L336" s="122">
        <f t="shared" si="310"/>
      </c>
      <c r="M336" s="75">
        <f t="shared" si="310"/>
      </c>
      <c r="N336" s="83">
        <f t="shared" si="310"/>
      </c>
      <c r="O336" s="75">
        <f t="shared" si="310"/>
      </c>
      <c r="P336" s="23">
        <f t="shared" si="310"/>
      </c>
      <c r="Q336" s="23">
        <f t="shared" si="310"/>
      </c>
      <c r="R336" s="23">
        <f t="shared" si="310"/>
      </c>
      <c r="S336" s="23">
        <f t="shared" si="310"/>
      </c>
      <c r="T336" s="23">
        <f t="shared" si="310"/>
      </c>
      <c r="U336" s="23">
        <f t="shared" si="310"/>
      </c>
      <c r="V336" s="83">
        <f t="shared" si="310"/>
      </c>
      <c r="W336" s="25">
        <f t="shared" si="310"/>
      </c>
      <c r="X336" s="23"/>
      <c r="Y336" s="83">
        <f t="shared" si="310"/>
      </c>
      <c r="Z336" s="25">
        <f t="shared" si="310"/>
      </c>
      <c r="AA336" s="23">
        <f t="shared" si="310"/>
      </c>
      <c r="AB336" s="23">
        <f t="shared" si="310"/>
      </c>
      <c r="AC336" s="23">
        <f t="shared" si="310"/>
      </c>
      <c r="AD336" s="23">
        <f t="shared" si="310"/>
      </c>
      <c r="AE336" s="23">
        <f t="shared" si="310"/>
      </c>
      <c r="AF336" s="23">
        <f t="shared" si="310"/>
      </c>
      <c r="AG336" s="83">
        <f t="shared" si="310"/>
      </c>
      <c r="AH336" s="254"/>
      <c r="AI336" s="139"/>
      <c r="AJ336" s="140"/>
      <c r="AK336" s="143"/>
      <c r="AL336" s="143"/>
      <c r="AM336" s="132"/>
      <c r="AN336" s="130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</row>
    <row r="337" spans="1:66" ht="30.75" customHeight="1" hidden="1">
      <c r="A337" s="133"/>
      <c r="B337" s="134"/>
      <c r="C337" s="134"/>
      <c r="D337" s="134"/>
      <c r="E337" s="135"/>
      <c r="F337" s="106" t="s">
        <v>95</v>
      </c>
      <c r="G337" s="71">
        <f>VLOOKUP(завтрак1,таб,5,FALSE)</f>
        <v>0</v>
      </c>
      <c r="H337" s="26">
        <f>VLOOKUP(завтрак2,таб,5,FALSE)</f>
        <v>0</v>
      </c>
      <c r="I337" s="26"/>
      <c r="J337" s="26">
        <f>VLOOKUP(завтрак4,таб,5,FALSE)</f>
        <v>0</v>
      </c>
      <c r="K337" s="26">
        <f>VLOOKUP(завтрак5,таб,5,FALSE)</f>
        <v>0</v>
      </c>
      <c r="L337" s="116">
        <f>VLOOKUP(завтрак6,таб,5,FALSE)</f>
        <v>0</v>
      </c>
      <c r="M337" s="71">
        <f>VLOOKUP(завтрак7,таб,5,FALSE)</f>
        <v>0</v>
      </c>
      <c r="N337" s="81">
        <f>VLOOKUP(завтрак8,таб,5,FALSE)</f>
        <v>0</v>
      </c>
      <c r="O337" s="34">
        <f>VLOOKUP(обед1,таб,5,FALSE)</f>
        <v>0</v>
      </c>
      <c r="P337" s="33">
        <f>VLOOKUP(обед2,таб,5,FALSE)</f>
        <v>0</v>
      </c>
      <c r="Q337" s="33">
        <f>VLOOKUP(обед3,таб,5,FALSE)</f>
        <v>0</v>
      </c>
      <c r="R337" s="33">
        <f>VLOOKUP(обед4,таб,5,FALSE)</f>
        <v>0</v>
      </c>
      <c r="S337" s="33">
        <f>VLOOKUP(обед5,таб,5,FALSE)</f>
        <v>0</v>
      </c>
      <c r="T337" s="33">
        <f>VLOOKUP(обед6,таб,5,FALSE)</f>
        <v>0</v>
      </c>
      <c r="U337" s="33">
        <f>VLOOKUP(обед7,таб,5,FALSE)</f>
        <v>0</v>
      </c>
      <c r="V337" s="87">
        <f>VLOOKUP(обед8,таб,5,FALSE)</f>
        <v>0</v>
      </c>
      <c r="W337" s="34">
        <f>VLOOKUP(полдник1,таб,5,FALSE)</f>
        <v>0</v>
      </c>
      <c r="X337" s="33"/>
      <c r="Y337" s="87">
        <f>VLOOKUP(полдник3,таб,5,FALSE)</f>
        <v>0</v>
      </c>
      <c r="Z337" s="34">
        <f>VLOOKUP(ужин1,таб,5,FALSE)</f>
        <v>0</v>
      </c>
      <c r="AA337" s="33">
        <f>VLOOKUP(ужин2,таб,5,FALSE)</f>
        <v>0</v>
      </c>
      <c r="AB337" s="33">
        <f>VLOOKUP(ужин3,таб,5,FALSE)</f>
        <v>0</v>
      </c>
      <c r="AC337" s="33">
        <f>VLOOKUP(ужин4,таб,5,FALSE)</f>
        <v>0</v>
      </c>
      <c r="AD337" s="33">
        <f>VLOOKUP(ужин5,таб,5,FALSE)</f>
        <v>0</v>
      </c>
      <c r="AE337" s="33">
        <f>VLOOKUP(ужин6,таб,5,FALSE)</f>
        <v>0</v>
      </c>
      <c r="AF337" s="33">
        <f>VLOOKUP(ужин7,таб,5,FALSE)</f>
        <v>0</v>
      </c>
      <c r="AG337" s="87">
        <f>VLOOKUP(ужин8,таб,5,FALSE)</f>
        <v>0</v>
      </c>
      <c r="AH337" s="253"/>
      <c r="AI337" s="139">
        <f>AK337/сред</f>
        <v>0</v>
      </c>
      <c r="AJ337" s="140"/>
      <c r="AK337" s="143">
        <f>SUM(G338:AG338)</f>
        <v>0</v>
      </c>
      <c r="AL337" s="143"/>
      <c r="AM337" s="131">
        <f>IF(AK337=0,0,Таблиця!BT429)</f>
        <v>0</v>
      </c>
      <c r="AN337" s="129">
        <f>AK337*AM337</f>
        <v>0</v>
      </c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</row>
    <row r="338" spans="1:66" ht="30.75" customHeight="1" hidden="1">
      <c r="A338" s="136"/>
      <c r="B338" s="137"/>
      <c r="C338" s="137"/>
      <c r="D338" s="137"/>
      <c r="E338" s="138"/>
      <c r="F338" s="107" t="s">
        <v>96</v>
      </c>
      <c r="G338" s="75">
        <f aca="true" t="shared" si="311" ref="G338:AG338">IF(G337=0,"",завтракл*G337/1000)</f>
      </c>
      <c r="H338" s="23">
        <f t="shared" si="311"/>
      </c>
      <c r="I338" s="23"/>
      <c r="J338" s="23">
        <f t="shared" si="311"/>
      </c>
      <c r="K338" s="23">
        <f t="shared" si="311"/>
      </c>
      <c r="L338" s="122">
        <f t="shared" si="311"/>
      </c>
      <c r="M338" s="75">
        <f t="shared" si="311"/>
      </c>
      <c r="N338" s="83">
        <f t="shared" si="311"/>
      </c>
      <c r="O338" s="75">
        <f t="shared" si="311"/>
      </c>
      <c r="P338" s="23">
        <f t="shared" si="311"/>
      </c>
      <c r="Q338" s="23">
        <f t="shared" si="311"/>
      </c>
      <c r="R338" s="23">
        <f t="shared" si="311"/>
      </c>
      <c r="S338" s="23">
        <f t="shared" si="311"/>
      </c>
      <c r="T338" s="23">
        <f t="shared" si="311"/>
      </c>
      <c r="U338" s="23">
        <f t="shared" si="311"/>
      </c>
      <c r="V338" s="83">
        <f t="shared" si="311"/>
      </c>
      <c r="W338" s="25">
        <f t="shared" si="311"/>
      </c>
      <c r="X338" s="23"/>
      <c r="Y338" s="83">
        <f t="shared" si="311"/>
      </c>
      <c r="Z338" s="25">
        <f t="shared" si="311"/>
      </c>
      <c r="AA338" s="23">
        <f t="shared" si="311"/>
      </c>
      <c r="AB338" s="23">
        <f t="shared" si="311"/>
      </c>
      <c r="AC338" s="23">
        <f t="shared" si="311"/>
      </c>
      <c r="AD338" s="23">
        <f t="shared" si="311"/>
      </c>
      <c r="AE338" s="23">
        <f t="shared" si="311"/>
      </c>
      <c r="AF338" s="23">
        <f t="shared" si="311"/>
      </c>
      <c r="AG338" s="83">
        <f t="shared" si="311"/>
      </c>
      <c r="AH338" s="254"/>
      <c r="AI338" s="139"/>
      <c r="AJ338" s="140"/>
      <c r="AK338" s="143"/>
      <c r="AL338" s="143"/>
      <c r="AM338" s="132"/>
      <c r="AN338" s="130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</row>
    <row r="339" spans="1:66" ht="30.75" customHeight="1" hidden="1">
      <c r="A339" s="133"/>
      <c r="B339" s="134"/>
      <c r="C339" s="134"/>
      <c r="D339" s="134"/>
      <c r="E339" s="135"/>
      <c r="F339" s="106" t="s">
        <v>95</v>
      </c>
      <c r="G339" s="71">
        <f>VLOOKUP(завтрак1,таб,5,FALSE)</f>
        <v>0</v>
      </c>
      <c r="H339" s="26">
        <f>VLOOKUP(завтрак2,таб,5,FALSE)</f>
        <v>0</v>
      </c>
      <c r="I339" s="26"/>
      <c r="J339" s="26">
        <f>VLOOKUP(завтрак4,таб,5,FALSE)</f>
        <v>0</v>
      </c>
      <c r="K339" s="26">
        <f>VLOOKUP(завтрак5,таб,5,FALSE)</f>
        <v>0</v>
      </c>
      <c r="L339" s="116">
        <f>VLOOKUP(завтрак6,таб,5,FALSE)</f>
        <v>0</v>
      </c>
      <c r="M339" s="71">
        <f>VLOOKUP(завтрак7,таб,5,FALSE)</f>
        <v>0</v>
      </c>
      <c r="N339" s="81">
        <f>VLOOKUP(завтрак8,таб,5,FALSE)</f>
        <v>0</v>
      </c>
      <c r="O339" s="34">
        <f>VLOOKUP(обед1,таб,5,FALSE)</f>
        <v>0</v>
      </c>
      <c r="P339" s="33">
        <f>VLOOKUP(обед2,таб,5,FALSE)</f>
        <v>0</v>
      </c>
      <c r="Q339" s="33">
        <f>VLOOKUP(обед3,таб,5,FALSE)</f>
        <v>0</v>
      </c>
      <c r="R339" s="33">
        <f>VLOOKUP(обед4,таб,5,FALSE)</f>
        <v>0</v>
      </c>
      <c r="S339" s="33">
        <f>VLOOKUP(обед5,таб,5,FALSE)</f>
        <v>0</v>
      </c>
      <c r="T339" s="33">
        <f>VLOOKUP(обед6,таб,5,FALSE)</f>
        <v>0</v>
      </c>
      <c r="U339" s="33">
        <f>VLOOKUP(обед7,таб,5,FALSE)</f>
        <v>0</v>
      </c>
      <c r="V339" s="87">
        <f>VLOOKUP(обед8,таб,5,FALSE)</f>
        <v>0</v>
      </c>
      <c r="W339" s="34">
        <f>VLOOKUP(полдник1,таб,5,FALSE)</f>
        <v>0</v>
      </c>
      <c r="X339" s="33"/>
      <c r="Y339" s="87">
        <f>VLOOKUP(полдник3,таб,5,FALSE)</f>
        <v>0</v>
      </c>
      <c r="Z339" s="34">
        <f>VLOOKUP(ужин1,таб,5,FALSE)</f>
        <v>0</v>
      </c>
      <c r="AA339" s="33">
        <f>VLOOKUP(ужин2,таб,5,FALSE)</f>
        <v>0</v>
      </c>
      <c r="AB339" s="33">
        <f>VLOOKUP(ужин3,таб,5,FALSE)</f>
        <v>0</v>
      </c>
      <c r="AC339" s="33">
        <f>VLOOKUP(ужин4,таб,5,FALSE)</f>
        <v>0</v>
      </c>
      <c r="AD339" s="33">
        <f>VLOOKUP(ужин5,таб,5,FALSE)</f>
        <v>0</v>
      </c>
      <c r="AE339" s="33">
        <f>VLOOKUP(ужин6,таб,5,FALSE)</f>
        <v>0</v>
      </c>
      <c r="AF339" s="33">
        <f>VLOOKUP(ужин7,таб,5,FALSE)</f>
        <v>0</v>
      </c>
      <c r="AG339" s="87">
        <f>VLOOKUP(ужин8,таб,5,FALSE)</f>
        <v>0</v>
      </c>
      <c r="AH339" s="253"/>
      <c r="AI339" s="139">
        <f>AK339/сред</f>
        <v>0</v>
      </c>
      <c r="AJ339" s="140"/>
      <c r="AK339" s="143">
        <f>SUM(G340:AG340)</f>
        <v>0</v>
      </c>
      <c r="AL339" s="143"/>
      <c r="AM339" s="131">
        <f>IF(AK339=0,0,Таблиця!BT431)</f>
        <v>0</v>
      </c>
      <c r="AN339" s="129">
        <f>AK339*AM339</f>
        <v>0</v>
      </c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</row>
    <row r="340" spans="1:66" ht="30.75" customHeight="1" hidden="1">
      <c r="A340" s="136"/>
      <c r="B340" s="137"/>
      <c r="C340" s="137"/>
      <c r="D340" s="137"/>
      <c r="E340" s="138"/>
      <c r="F340" s="107" t="s">
        <v>96</v>
      </c>
      <c r="G340" s="75">
        <f aca="true" t="shared" si="312" ref="G340:AG340">IF(G339=0,"",завтракл*G339/1000)</f>
      </c>
      <c r="H340" s="23">
        <f t="shared" si="312"/>
      </c>
      <c r="I340" s="23"/>
      <c r="J340" s="23">
        <f t="shared" si="312"/>
      </c>
      <c r="K340" s="23">
        <f t="shared" si="312"/>
      </c>
      <c r="L340" s="122">
        <f t="shared" si="312"/>
      </c>
      <c r="M340" s="75">
        <f t="shared" si="312"/>
      </c>
      <c r="N340" s="83">
        <f t="shared" si="312"/>
      </c>
      <c r="O340" s="75">
        <f t="shared" si="312"/>
      </c>
      <c r="P340" s="23">
        <f t="shared" si="312"/>
      </c>
      <c r="Q340" s="23">
        <f t="shared" si="312"/>
      </c>
      <c r="R340" s="23">
        <f t="shared" si="312"/>
      </c>
      <c r="S340" s="23">
        <f t="shared" si="312"/>
      </c>
      <c r="T340" s="23">
        <f t="shared" si="312"/>
      </c>
      <c r="U340" s="23">
        <f t="shared" si="312"/>
      </c>
      <c r="V340" s="83">
        <f t="shared" si="312"/>
      </c>
      <c r="W340" s="25">
        <f t="shared" si="312"/>
      </c>
      <c r="X340" s="23"/>
      <c r="Y340" s="83">
        <f t="shared" si="312"/>
      </c>
      <c r="Z340" s="25">
        <f t="shared" si="312"/>
      </c>
      <c r="AA340" s="23">
        <f t="shared" si="312"/>
      </c>
      <c r="AB340" s="23">
        <f t="shared" si="312"/>
      </c>
      <c r="AC340" s="23">
        <f t="shared" si="312"/>
      </c>
      <c r="AD340" s="23">
        <f t="shared" si="312"/>
      </c>
      <c r="AE340" s="23">
        <f t="shared" si="312"/>
      </c>
      <c r="AF340" s="23">
        <f t="shared" si="312"/>
      </c>
      <c r="AG340" s="83">
        <f t="shared" si="312"/>
      </c>
      <c r="AH340" s="254"/>
      <c r="AI340" s="139"/>
      <c r="AJ340" s="140"/>
      <c r="AK340" s="143"/>
      <c r="AL340" s="143"/>
      <c r="AM340" s="132"/>
      <c r="AN340" s="130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</row>
    <row r="341" spans="1:66" ht="30.75" customHeight="1" hidden="1">
      <c r="A341" s="133"/>
      <c r="B341" s="134"/>
      <c r="C341" s="134"/>
      <c r="D341" s="134"/>
      <c r="E341" s="135"/>
      <c r="F341" s="106" t="s">
        <v>95</v>
      </c>
      <c r="G341" s="71">
        <f>VLOOKUP(завтрак1,таб,5,FALSE)</f>
        <v>0</v>
      </c>
      <c r="H341" s="26">
        <f>VLOOKUP(завтрак2,таб,5,FALSE)</f>
        <v>0</v>
      </c>
      <c r="I341" s="26"/>
      <c r="J341" s="26">
        <f>VLOOKUP(завтрак4,таб,5,FALSE)</f>
        <v>0</v>
      </c>
      <c r="K341" s="26">
        <f>VLOOKUP(завтрак5,таб,5,FALSE)</f>
        <v>0</v>
      </c>
      <c r="L341" s="116">
        <f>VLOOKUP(завтрак6,таб,5,FALSE)</f>
        <v>0</v>
      </c>
      <c r="M341" s="71">
        <f>VLOOKUP(завтрак7,таб,5,FALSE)</f>
        <v>0</v>
      </c>
      <c r="N341" s="81">
        <f>VLOOKUP(завтрак8,таб,5,FALSE)</f>
        <v>0</v>
      </c>
      <c r="O341" s="34">
        <f>VLOOKUP(обед1,таб,5,FALSE)</f>
        <v>0</v>
      </c>
      <c r="P341" s="33">
        <f>VLOOKUP(обед2,таб,5,FALSE)</f>
        <v>0</v>
      </c>
      <c r="Q341" s="33">
        <f>VLOOKUP(обед3,таб,5,FALSE)</f>
        <v>0</v>
      </c>
      <c r="R341" s="33">
        <f>VLOOKUP(обед4,таб,5,FALSE)</f>
        <v>0</v>
      </c>
      <c r="S341" s="33">
        <f>VLOOKUP(обед5,таб,5,FALSE)</f>
        <v>0</v>
      </c>
      <c r="T341" s="33">
        <f>VLOOKUP(обед6,таб,5,FALSE)</f>
        <v>0</v>
      </c>
      <c r="U341" s="33">
        <f>VLOOKUP(обед7,таб,5,FALSE)</f>
        <v>0</v>
      </c>
      <c r="V341" s="87">
        <f>VLOOKUP(обед8,таб,5,FALSE)</f>
        <v>0</v>
      </c>
      <c r="W341" s="34">
        <f>VLOOKUP(полдник1,таб,5,FALSE)</f>
        <v>0</v>
      </c>
      <c r="X341" s="33"/>
      <c r="Y341" s="87">
        <f>VLOOKUP(полдник3,таб,5,FALSE)</f>
        <v>0</v>
      </c>
      <c r="Z341" s="34">
        <f>VLOOKUP(ужин1,таб,5,FALSE)</f>
        <v>0</v>
      </c>
      <c r="AA341" s="33">
        <f>VLOOKUP(ужин2,таб,5,FALSE)</f>
        <v>0</v>
      </c>
      <c r="AB341" s="33">
        <f>VLOOKUP(ужин3,таб,5,FALSE)</f>
        <v>0</v>
      </c>
      <c r="AC341" s="33">
        <f>VLOOKUP(ужин4,таб,5,FALSE)</f>
        <v>0</v>
      </c>
      <c r="AD341" s="33">
        <f>VLOOKUP(ужин5,таб,5,FALSE)</f>
        <v>0</v>
      </c>
      <c r="AE341" s="33">
        <f>VLOOKUP(ужин6,таб,5,FALSE)</f>
        <v>0</v>
      </c>
      <c r="AF341" s="33">
        <f>VLOOKUP(ужин7,таб,5,FALSE)</f>
        <v>0</v>
      </c>
      <c r="AG341" s="87">
        <f>VLOOKUP(ужин8,таб,5,FALSE)</f>
        <v>0</v>
      </c>
      <c r="AH341" s="253"/>
      <c r="AI341" s="139">
        <f>AK341/сред</f>
        <v>0</v>
      </c>
      <c r="AJ341" s="140"/>
      <c r="AK341" s="143">
        <f>SUM(G342:AG342)</f>
        <v>0</v>
      </c>
      <c r="AL341" s="143"/>
      <c r="AM341" s="131">
        <f>IF(AK341=0,0,Таблиця!BT433)</f>
        <v>0</v>
      </c>
      <c r="AN341" s="129">
        <f>AK341*AM341</f>
        <v>0</v>
      </c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</row>
    <row r="342" spans="1:66" ht="30.75" customHeight="1" hidden="1">
      <c r="A342" s="136"/>
      <c r="B342" s="137"/>
      <c r="C342" s="137"/>
      <c r="D342" s="137"/>
      <c r="E342" s="138"/>
      <c r="F342" s="107" t="s">
        <v>96</v>
      </c>
      <c r="G342" s="75">
        <f aca="true" t="shared" si="313" ref="G342:AG342">IF(G341=0,"",завтракл*G341/1000)</f>
      </c>
      <c r="H342" s="23">
        <f t="shared" si="313"/>
      </c>
      <c r="I342" s="23"/>
      <c r="J342" s="23">
        <f t="shared" si="313"/>
      </c>
      <c r="K342" s="23">
        <f t="shared" si="313"/>
      </c>
      <c r="L342" s="122">
        <f t="shared" si="313"/>
      </c>
      <c r="M342" s="75">
        <f t="shared" si="313"/>
      </c>
      <c r="N342" s="83">
        <f t="shared" si="313"/>
      </c>
      <c r="O342" s="75">
        <f t="shared" si="313"/>
      </c>
      <c r="P342" s="23">
        <f t="shared" si="313"/>
      </c>
      <c r="Q342" s="23">
        <f t="shared" si="313"/>
      </c>
      <c r="R342" s="23">
        <f t="shared" si="313"/>
      </c>
      <c r="S342" s="23">
        <f t="shared" si="313"/>
      </c>
      <c r="T342" s="23">
        <f t="shared" si="313"/>
      </c>
      <c r="U342" s="23">
        <f t="shared" si="313"/>
      </c>
      <c r="V342" s="83">
        <f t="shared" si="313"/>
      </c>
      <c r="W342" s="25">
        <f t="shared" si="313"/>
      </c>
      <c r="X342" s="23"/>
      <c r="Y342" s="83">
        <f t="shared" si="313"/>
      </c>
      <c r="Z342" s="25">
        <f t="shared" si="313"/>
      </c>
      <c r="AA342" s="23">
        <f t="shared" si="313"/>
      </c>
      <c r="AB342" s="23">
        <f t="shared" si="313"/>
      </c>
      <c r="AC342" s="23">
        <f t="shared" si="313"/>
      </c>
      <c r="AD342" s="23">
        <f t="shared" si="313"/>
      </c>
      <c r="AE342" s="23">
        <f t="shared" si="313"/>
      </c>
      <c r="AF342" s="23">
        <f t="shared" si="313"/>
      </c>
      <c r="AG342" s="83">
        <f t="shared" si="313"/>
      </c>
      <c r="AH342" s="254"/>
      <c r="AI342" s="139"/>
      <c r="AJ342" s="140"/>
      <c r="AK342" s="143"/>
      <c r="AL342" s="143"/>
      <c r="AM342" s="132"/>
      <c r="AN342" s="130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</row>
    <row r="343" spans="1:66" ht="30.75" customHeight="1" hidden="1">
      <c r="A343" s="133"/>
      <c r="B343" s="134"/>
      <c r="C343" s="134"/>
      <c r="D343" s="134"/>
      <c r="E343" s="135"/>
      <c r="F343" s="106" t="s">
        <v>95</v>
      </c>
      <c r="G343" s="71">
        <f>VLOOKUP(завтрак1,таб,5,FALSE)</f>
        <v>0</v>
      </c>
      <c r="H343" s="26">
        <f>VLOOKUP(завтрак2,таб,5,FALSE)</f>
        <v>0</v>
      </c>
      <c r="I343" s="26"/>
      <c r="J343" s="26">
        <f>VLOOKUP(завтрак4,таб,5,FALSE)</f>
        <v>0</v>
      </c>
      <c r="K343" s="26">
        <f>VLOOKUP(завтрак5,таб,5,FALSE)</f>
        <v>0</v>
      </c>
      <c r="L343" s="116">
        <f>VLOOKUP(завтрак6,таб,5,FALSE)</f>
        <v>0</v>
      </c>
      <c r="M343" s="71">
        <f>VLOOKUP(завтрак7,таб,5,FALSE)</f>
        <v>0</v>
      </c>
      <c r="N343" s="81">
        <f>VLOOKUP(завтрак8,таб,5,FALSE)</f>
        <v>0</v>
      </c>
      <c r="O343" s="34">
        <f>VLOOKUP(обед1,таб,5,FALSE)</f>
        <v>0</v>
      </c>
      <c r="P343" s="33">
        <f>VLOOKUP(обед2,таб,5,FALSE)</f>
        <v>0</v>
      </c>
      <c r="Q343" s="33">
        <f>VLOOKUP(обед3,таб,5,FALSE)</f>
        <v>0</v>
      </c>
      <c r="R343" s="33">
        <f>VLOOKUP(обед4,таб,5,FALSE)</f>
        <v>0</v>
      </c>
      <c r="S343" s="33">
        <f>VLOOKUP(обед5,таб,5,FALSE)</f>
        <v>0</v>
      </c>
      <c r="T343" s="33">
        <f>VLOOKUP(обед6,таб,5,FALSE)</f>
        <v>0</v>
      </c>
      <c r="U343" s="33">
        <f>VLOOKUP(обед7,таб,5,FALSE)</f>
        <v>0</v>
      </c>
      <c r="V343" s="87">
        <f>VLOOKUP(обед8,таб,5,FALSE)</f>
        <v>0</v>
      </c>
      <c r="W343" s="34">
        <f>VLOOKUP(полдник1,таб,5,FALSE)</f>
        <v>0</v>
      </c>
      <c r="X343" s="33"/>
      <c r="Y343" s="87">
        <f>VLOOKUP(полдник3,таб,5,FALSE)</f>
        <v>0</v>
      </c>
      <c r="Z343" s="34">
        <f>VLOOKUP(ужин1,таб,5,FALSE)</f>
        <v>0</v>
      </c>
      <c r="AA343" s="33">
        <f>VLOOKUP(ужин2,таб,5,FALSE)</f>
        <v>0</v>
      </c>
      <c r="AB343" s="33">
        <f>VLOOKUP(ужин3,таб,5,FALSE)</f>
        <v>0</v>
      </c>
      <c r="AC343" s="33">
        <f>VLOOKUP(ужин4,таб,5,FALSE)</f>
        <v>0</v>
      </c>
      <c r="AD343" s="33">
        <f>VLOOKUP(ужин5,таб,5,FALSE)</f>
        <v>0</v>
      </c>
      <c r="AE343" s="33">
        <f>VLOOKUP(ужин6,таб,5,FALSE)</f>
        <v>0</v>
      </c>
      <c r="AF343" s="33">
        <f>VLOOKUP(ужин7,таб,5,FALSE)</f>
        <v>0</v>
      </c>
      <c r="AG343" s="87">
        <f>VLOOKUP(ужин8,таб,5,FALSE)</f>
        <v>0</v>
      </c>
      <c r="AH343" s="253"/>
      <c r="AI343" s="139">
        <f>AK343/сред</f>
        <v>0</v>
      </c>
      <c r="AJ343" s="140"/>
      <c r="AK343" s="143">
        <f>SUM(G344:AG344)</f>
        <v>0</v>
      </c>
      <c r="AL343" s="143"/>
      <c r="AM343" s="131">
        <f>IF(AK343=0,0,Таблиця!BT435)</f>
        <v>0</v>
      </c>
      <c r="AN343" s="129">
        <f>AK343*AM343</f>
        <v>0</v>
      </c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</row>
    <row r="344" spans="1:66" ht="30.75" customHeight="1" hidden="1">
      <c r="A344" s="136"/>
      <c r="B344" s="137"/>
      <c r="C344" s="137"/>
      <c r="D344" s="137"/>
      <c r="E344" s="138"/>
      <c r="F344" s="107" t="s">
        <v>96</v>
      </c>
      <c r="G344" s="75">
        <f aca="true" t="shared" si="314" ref="G344:AG344">IF(G343=0,"",завтракл*G343/1000)</f>
      </c>
      <c r="H344" s="23">
        <f t="shared" si="314"/>
      </c>
      <c r="I344" s="23"/>
      <c r="J344" s="23">
        <f t="shared" si="314"/>
      </c>
      <c r="K344" s="23">
        <f t="shared" si="314"/>
      </c>
      <c r="L344" s="122">
        <f t="shared" si="314"/>
      </c>
      <c r="M344" s="75">
        <f t="shared" si="314"/>
      </c>
      <c r="N344" s="83">
        <f t="shared" si="314"/>
      </c>
      <c r="O344" s="75">
        <f t="shared" si="314"/>
      </c>
      <c r="P344" s="23">
        <f t="shared" si="314"/>
      </c>
      <c r="Q344" s="23">
        <f t="shared" si="314"/>
      </c>
      <c r="R344" s="23">
        <f t="shared" si="314"/>
      </c>
      <c r="S344" s="23">
        <f t="shared" si="314"/>
      </c>
      <c r="T344" s="23">
        <f t="shared" si="314"/>
      </c>
      <c r="U344" s="23">
        <f t="shared" si="314"/>
      </c>
      <c r="V344" s="83">
        <f t="shared" si="314"/>
      </c>
      <c r="W344" s="25">
        <f t="shared" si="314"/>
      </c>
      <c r="X344" s="23"/>
      <c r="Y344" s="83">
        <f t="shared" si="314"/>
      </c>
      <c r="Z344" s="25">
        <f t="shared" si="314"/>
      </c>
      <c r="AA344" s="23">
        <f t="shared" si="314"/>
      </c>
      <c r="AB344" s="23">
        <f t="shared" si="314"/>
      </c>
      <c r="AC344" s="23">
        <f t="shared" si="314"/>
      </c>
      <c r="AD344" s="23">
        <f t="shared" si="314"/>
      </c>
      <c r="AE344" s="23">
        <f t="shared" si="314"/>
      </c>
      <c r="AF344" s="23">
        <f t="shared" si="314"/>
      </c>
      <c r="AG344" s="83">
        <f t="shared" si="314"/>
      </c>
      <c r="AH344" s="254"/>
      <c r="AI344" s="139"/>
      <c r="AJ344" s="140"/>
      <c r="AK344" s="143"/>
      <c r="AL344" s="143"/>
      <c r="AM344" s="132"/>
      <c r="AN344" s="130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</row>
    <row r="345" spans="1:66" ht="30.75" customHeight="1" hidden="1">
      <c r="A345" s="133"/>
      <c r="B345" s="134"/>
      <c r="C345" s="134"/>
      <c r="D345" s="134"/>
      <c r="E345" s="135"/>
      <c r="F345" s="106" t="s">
        <v>95</v>
      </c>
      <c r="G345" s="71">
        <f>VLOOKUP(завтрак1,таб,5,FALSE)</f>
        <v>0</v>
      </c>
      <c r="H345" s="26">
        <f>VLOOKUP(завтрак2,таб,5,FALSE)</f>
        <v>0</v>
      </c>
      <c r="I345" s="26"/>
      <c r="J345" s="26">
        <f>VLOOKUP(завтрак4,таб,5,FALSE)</f>
        <v>0</v>
      </c>
      <c r="K345" s="26">
        <f>VLOOKUP(завтрак5,таб,5,FALSE)</f>
        <v>0</v>
      </c>
      <c r="L345" s="116">
        <f>VLOOKUP(завтрак6,таб,5,FALSE)</f>
        <v>0</v>
      </c>
      <c r="M345" s="71">
        <f>VLOOKUP(завтрак7,таб,5,FALSE)</f>
        <v>0</v>
      </c>
      <c r="N345" s="81">
        <f>VLOOKUP(завтрак8,таб,5,FALSE)</f>
        <v>0</v>
      </c>
      <c r="O345" s="34">
        <f>VLOOKUP(обед1,таб,5,FALSE)</f>
        <v>0</v>
      </c>
      <c r="P345" s="33">
        <f>VLOOKUP(обед2,таб,5,FALSE)</f>
        <v>0</v>
      </c>
      <c r="Q345" s="33">
        <f>VLOOKUP(обед3,таб,5,FALSE)</f>
        <v>0</v>
      </c>
      <c r="R345" s="33">
        <f>VLOOKUP(обед4,таб,5,FALSE)</f>
        <v>0</v>
      </c>
      <c r="S345" s="33">
        <f>VLOOKUP(обед5,таб,5,FALSE)</f>
        <v>0</v>
      </c>
      <c r="T345" s="33">
        <f>VLOOKUP(обед6,таб,5,FALSE)</f>
        <v>0</v>
      </c>
      <c r="U345" s="33">
        <f>VLOOKUP(обед7,таб,5,FALSE)</f>
        <v>0</v>
      </c>
      <c r="V345" s="87">
        <f>VLOOKUP(обед8,таб,5,FALSE)</f>
        <v>0</v>
      </c>
      <c r="W345" s="34">
        <f>VLOOKUP(полдник1,таб,5,FALSE)</f>
        <v>0</v>
      </c>
      <c r="X345" s="33"/>
      <c r="Y345" s="87">
        <f>VLOOKUP(полдник3,таб,5,FALSE)</f>
        <v>0</v>
      </c>
      <c r="Z345" s="34">
        <f>VLOOKUP(ужин1,таб,5,FALSE)</f>
        <v>0</v>
      </c>
      <c r="AA345" s="33">
        <f>VLOOKUP(ужин2,таб,5,FALSE)</f>
        <v>0</v>
      </c>
      <c r="AB345" s="33">
        <f>VLOOKUP(ужин3,таб,5,FALSE)</f>
        <v>0</v>
      </c>
      <c r="AC345" s="33">
        <f>VLOOKUP(ужин4,таб,5,FALSE)</f>
        <v>0</v>
      </c>
      <c r="AD345" s="33">
        <f>VLOOKUP(ужин5,таб,5,FALSE)</f>
        <v>0</v>
      </c>
      <c r="AE345" s="33">
        <f>VLOOKUP(ужин6,таб,5,FALSE)</f>
        <v>0</v>
      </c>
      <c r="AF345" s="33">
        <f>VLOOKUP(ужин7,таб,5,FALSE)</f>
        <v>0</v>
      </c>
      <c r="AG345" s="87">
        <f>VLOOKUP(ужин8,таб,5,FALSE)</f>
        <v>0</v>
      </c>
      <c r="AH345" s="253"/>
      <c r="AI345" s="139">
        <f>AK345/сред</f>
        <v>0</v>
      </c>
      <c r="AJ345" s="140"/>
      <c r="AK345" s="143">
        <f>SUM(G346:AG346)</f>
        <v>0</v>
      </c>
      <c r="AL345" s="143"/>
      <c r="AM345" s="131">
        <f>IF(AK345=0,0,Таблиця!BT437)</f>
        <v>0</v>
      </c>
      <c r="AN345" s="129">
        <f>AK345*AM345</f>
        <v>0</v>
      </c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</row>
    <row r="346" spans="1:66" ht="30.75" customHeight="1" hidden="1">
      <c r="A346" s="136"/>
      <c r="B346" s="137"/>
      <c r="C346" s="137"/>
      <c r="D346" s="137"/>
      <c r="E346" s="138"/>
      <c r="F346" s="107" t="s">
        <v>96</v>
      </c>
      <c r="G346" s="75">
        <f aca="true" t="shared" si="315" ref="G346:AG346">IF(G345=0,"",завтракл*G345/1000)</f>
      </c>
      <c r="H346" s="23">
        <f t="shared" si="315"/>
      </c>
      <c r="I346" s="23"/>
      <c r="J346" s="23">
        <f t="shared" si="315"/>
      </c>
      <c r="K346" s="23">
        <f t="shared" si="315"/>
      </c>
      <c r="L346" s="122">
        <f t="shared" si="315"/>
      </c>
      <c r="M346" s="75">
        <f t="shared" si="315"/>
      </c>
      <c r="N346" s="83">
        <f t="shared" si="315"/>
      </c>
      <c r="O346" s="75">
        <f t="shared" si="315"/>
      </c>
      <c r="P346" s="23">
        <f t="shared" si="315"/>
      </c>
      <c r="Q346" s="23">
        <f t="shared" si="315"/>
      </c>
      <c r="R346" s="23">
        <f t="shared" si="315"/>
      </c>
      <c r="S346" s="23">
        <f t="shared" si="315"/>
      </c>
      <c r="T346" s="23">
        <f t="shared" si="315"/>
      </c>
      <c r="U346" s="23">
        <f t="shared" si="315"/>
      </c>
      <c r="V346" s="83">
        <f t="shared" si="315"/>
      </c>
      <c r="W346" s="25">
        <f t="shared" si="315"/>
      </c>
      <c r="X346" s="23"/>
      <c r="Y346" s="83">
        <f t="shared" si="315"/>
      </c>
      <c r="Z346" s="25">
        <f t="shared" si="315"/>
      </c>
      <c r="AA346" s="23">
        <f t="shared" si="315"/>
      </c>
      <c r="AB346" s="23">
        <f t="shared" si="315"/>
      </c>
      <c r="AC346" s="23">
        <f t="shared" si="315"/>
      </c>
      <c r="AD346" s="23">
        <f t="shared" si="315"/>
      </c>
      <c r="AE346" s="23">
        <f t="shared" si="315"/>
      </c>
      <c r="AF346" s="23">
        <f t="shared" si="315"/>
      </c>
      <c r="AG346" s="83">
        <f t="shared" si="315"/>
      </c>
      <c r="AH346" s="254"/>
      <c r="AI346" s="139"/>
      <c r="AJ346" s="140"/>
      <c r="AK346" s="143"/>
      <c r="AL346" s="143"/>
      <c r="AM346" s="132"/>
      <c r="AN346" s="130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</row>
    <row r="347" spans="1:66" ht="30.75" customHeight="1" hidden="1">
      <c r="A347" s="133"/>
      <c r="B347" s="134"/>
      <c r="C347" s="134"/>
      <c r="D347" s="134"/>
      <c r="E347" s="135"/>
      <c r="F347" s="106" t="s">
        <v>95</v>
      </c>
      <c r="G347" s="71">
        <f>VLOOKUP(завтрак1,таб,5,FALSE)</f>
        <v>0</v>
      </c>
      <c r="H347" s="26">
        <f>VLOOKUP(завтрак2,таб,5,FALSE)</f>
        <v>0</v>
      </c>
      <c r="I347" s="26"/>
      <c r="J347" s="26">
        <f>VLOOKUP(завтрак4,таб,5,FALSE)</f>
        <v>0</v>
      </c>
      <c r="K347" s="26">
        <f>VLOOKUP(завтрак5,таб,5,FALSE)</f>
        <v>0</v>
      </c>
      <c r="L347" s="116">
        <f>VLOOKUP(завтрак6,таб,5,FALSE)</f>
        <v>0</v>
      </c>
      <c r="M347" s="71">
        <f>VLOOKUP(завтрак7,таб,5,FALSE)</f>
        <v>0</v>
      </c>
      <c r="N347" s="81">
        <f>VLOOKUP(завтрак8,таб,5,FALSE)</f>
        <v>0</v>
      </c>
      <c r="O347" s="34">
        <f>VLOOKUP(обед1,таб,5,FALSE)</f>
        <v>0</v>
      </c>
      <c r="P347" s="33">
        <f>VLOOKUP(обед2,таб,5,FALSE)</f>
        <v>0</v>
      </c>
      <c r="Q347" s="33">
        <f>VLOOKUP(обед3,таб,5,FALSE)</f>
        <v>0</v>
      </c>
      <c r="R347" s="33">
        <f>VLOOKUP(обед4,таб,5,FALSE)</f>
        <v>0</v>
      </c>
      <c r="S347" s="33">
        <f>VLOOKUP(обед5,таб,5,FALSE)</f>
        <v>0</v>
      </c>
      <c r="T347" s="33">
        <f>VLOOKUP(обед6,таб,5,FALSE)</f>
        <v>0</v>
      </c>
      <c r="U347" s="33">
        <f>VLOOKUP(обед7,таб,5,FALSE)</f>
        <v>0</v>
      </c>
      <c r="V347" s="87">
        <f>VLOOKUP(обед8,таб,5,FALSE)</f>
        <v>0</v>
      </c>
      <c r="W347" s="34">
        <f>VLOOKUP(полдник1,таб,5,FALSE)</f>
        <v>0</v>
      </c>
      <c r="X347" s="33"/>
      <c r="Y347" s="87">
        <f>VLOOKUP(полдник3,таб,5,FALSE)</f>
        <v>0</v>
      </c>
      <c r="Z347" s="34">
        <f>VLOOKUP(ужин1,таб,5,FALSE)</f>
        <v>0</v>
      </c>
      <c r="AA347" s="33">
        <f>VLOOKUP(ужин2,таб,5,FALSE)</f>
        <v>0</v>
      </c>
      <c r="AB347" s="33">
        <f>VLOOKUP(ужин3,таб,5,FALSE)</f>
        <v>0</v>
      </c>
      <c r="AC347" s="33">
        <f>VLOOKUP(ужин4,таб,5,FALSE)</f>
        <v>0</v>
      </c>
      <c r="AD347" s="33">
        <f>VLOOKUP(ужин5,таб,5,FALSE)</f>
        <v>0</v>
      </c>
      <c r="AE347" s="33">
        <f>VLOOKUP(ужин6,таб,5,FALSE)</f>
        <v>0</v>
      </c>
      <c r="AF347" s="33">
        <f>VLOOKUP(ужин7,таб,5,FALSE)</f>
        <v>0</v>
      </c>
      <c r="AG347" s="87">
        <f>VLOOKUP(ужин8,таб,5,FALSE)</f>
        <v>0</v>
      </c>
      <c r="AH347" s="253"/>
      <c r="AI347" s="139">
        <f>AK347/сред</f>
        <v>0</v>
      </c>
      <c r="AJ347" s="140"/>
      <c r="AK347" s="143">
        <f>SUM(G348:AG348)</f>
        <v>0</v>
      </c>
      <c r="AL347" s="143"/>
      <c r="AM347" s="131">
        <f>IF(AK347=0,0,Таблиця!BT439)</f>
        <v>0</v>
      </c>
      <c r="AN347" s="129">
        <f>AK347*AM347</f>
        <v>0</v>
      </c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</row>
    <row r="348" spans="1:66" ht="30.75" customHeight="1" hidden="1">
      <c r="A348" s="136"/>
      <c r="B348" s="137"/>
      <c r="C348" s="137"/>
      <c r="D348" s="137"/>
      <c r="E348" s="138"/>
      <c r="F348" s="107" t="s">
        <v>96</v>
      </c>
      <c r="G348" s="75">
        <f aca="true" t="shared" si="316" ref="G348:AG348">IF(G347=0,"",завтракл*G347/1000)</f>
      </c>
      <c r="H348" s="23">
        <f t="shared" si="316"/>
      </c>
      <c r="I348" s="23"/>
      <c r="J348" s="23">
        <f t="shared" si="316"/>
      </c>
      <c r="K348" s="23">
        <f t="shared" si="316"/>
      </c>
      <c r="L348" s="122">
        <f t="shared" si="316"/>
      </c>
      <c r="M348" s="75">
        <f t="shared" si="316"/>
      </c>
      <c r="N348" s="83">
        <f t="shared" si="316"/>
      </c>
      <c r="O348" s="75">
        <f t="shared" si="316"/>
      </c>
      <c r="P348" s="23">
        <f t="shared" si="316"/>
      </c>
      <c r="Q348" s="23">
        <f t="shared" si="316"/>
      </c>
      <c r="R348" s="23">
        <f t="shared" si="316"/>
      </c>
      <c r="S348" s="23">
        <f t="shared" si="316"/>
      </c>
      <c r="T348" s="23">
        <f t="shared" si="316"/>
      </c>
      <c r="U348" s="23">
        <f t="shared" si="316"/>
      </c>
      <c r="V348" s="83">
        <f t="shared" si="316"/>
      </c>
      <c r="W348" s="25">
        <f t="shared" si="316"/>
      </c>
      <c r="X348" s="23"/>
      <c r="Y348" s="83">
        <f t="shared" si="316"/>
      </c>
      <c r="Z348" s="25">
        <f t="shared" si="316"/>
      </c>
      <c r="AA348" s="23">
        <f t="shared" si="316"/>
      </c>
      <c r="AB348" s="23">
        <f t="shared" si="316"/>
      </c>
      <c r="AC348" s="23">
        <f t="shared" si="316"/>
      </c>
      <c r="AD348" s="23">
        <f t="shared" si="316"/>
      </c>
      <c r="AE348" s="23">
        <f t="shared" si="316"/>
      </c>
      <c r="AF348" s="23">
        <f t="shared" si="316"/>
      </c>
      <c r="AG348" s="83">
        <f t="shared" si="316"/>
      </c>
      <c r="AH348" s="254"/>
      <c r="AI348" s="139"/>
      <c r="AJ348" s="140"/>
      <c r="AK348" s="143"/>
      <c r="AL348" s="143"/>
      <c r="AM348" s="132"/>
      <c r="AN348" s="130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</row>
    <row r="349" spans="1:66" ht="30.75" customHeight="1" hidden="1">
      <c r="A349" s="133"/>
      <c r="B349" s="134"/>
      <c r="C349" s="134"/>
      <c r="D349" s="134"/>
      <c r="E349" s="135"/>
      <c r="F349" s="106" t="s">
        <v>95</v>
      </c>
      <c r="G349" s="71">
        <f>VLOOKUP(завтрак1,таб,5,FALSE)</f>
        <v>0</v>
      </c>
      <c r="H349" s="26">
        <f>VLOOKUP(завтрак2,таб,5,FALSE)</f>
        <v>0</v>
      </c>
      <c r="I349" s="26"/>
      <c r="J349" s="26">
        <f>VLOOKUP(завтрак4,таб,5,FALSE)</f>
        <v>0</v>
      </c>
      <c r="K349" s="26">
        <f>VLOOKUP(завтрак5,таб,5,FALSE)</f>
        <v>0</v>
      </c>
      <c r="L349" s="116">
        <f>VLOOKUP(завтрак6,таб,5,FALSE)</f>
        <v>0</v>
      </c>
      <c r="M349" s="71">
        <f>VLOOKUP(завтрак7,таб,5,FALSE)</f>
        <v>0</v>
      </c>
      <c r="N349" s="81">
        <f>VLOOKUP(завтрак8,таб,5,FALSE)</f>
        <v>0</v>
      </c>
      <c r="O349" s="34">
        <f>VLOOKUP(обед1,таб,5,FALSE)</f>
        <v>0</v>
      </c>
      <c r="P349" s="33">
        <f>VLOOKUP(обед2,таб,5,FALSE)</f>
        <v>0</v>
      </c>
      <c r="Q349" s="33">
        <f>VLOOKUP(обед3,таб,5,FALSE)</f>
        <v>0</v>
      </c>
      <c r="R349" s="33">
        <f>VLOOKUP(обед4,таб,5,FALSE)</f>
        <v>0</v>
      </c>
      <c r="S349" s="33">
        <f>VLOOKUP(обед5,таб,5,FALSE)</f>
        <v>0</v>
      </c>
      <c r="T349" s="33">
        <f>VLOOKUP(обед6,таб,5,FALSE)</f>
        <v>0</v>
      </c>
      <c r="U349" s="33">
        <f>VLOOKUP(обед7,таб,5,FALSE)</f>
        <v>0</v>
      </c>
      <c r="V349" s="87">
        <f>VLOOKUP(обед8,таб,5,FALSE)</f>
        <v>0</v>
      </c>
      <c r="W349" s="34">
        <f>VLOOKUP(полдник1,таб,5,FALSE)</f>
        <v>0</v>
      </c>
      <c r="X349" s="33"/>
      <c r="Y349" s="87">
        <f>VLOOKUP(полдник3,таб,5,FALSE)</f>
        <v>0</v>
      </c>
      <c r="Z349" s="34">
        <f>VLOOKUP(ужин1,таб,5,FALSE)</f>
        <v>0</v>
      </c>
      <c r="AA349" s="33">
        <f>VLOOKUP(ужин2,таб,5,FALSE)</f>
        <v>0</v>
      </c>
      <c r="AB349" s="33">
        <f>VLOOKUP(ужин3,таб,5,FALSE)</f>
        <v>0</v>
      </c>
      <c r="AC349" s="33">
        <f>VLOOKUP(ужин4,таб,5,FALSE)</f>
        <v>0</v>
      </c>
      <c r="AD349" s="33">
        <f>VLOOKUP(ужин5,таб,5,FALSE)</f>
        <v>0</v>
      </c>
      <c r="AE349" s="33">
        <f>VLOOKUP(ужин6,таб,5,FALSE)</f>
        <v>0</v>
      </c>
      <c r="AF349" s="33">
        <f>VLOOKUP(ужин7,таб,5,FALSE)</f>
        <v>0</v>
      </c>
      <c r="AG349" s="87">
        <f>VLOOKUP(ужин8,таб,5,FALSE)</f>
        <v>0</v>
      </c>
      <c r="AH349" s="253"/>
      <c r="AI349" s="139">
        <f>AK349/сред</f>
        <v>0</v>
      </c>
      <c r="AJ349" s="140"/>
      <c r="AK349" s="143">
        <f>SUM(G350:AG350)</f>
        <v>0</v>
      </c>
      <c r="AL349" s="143"/>
      <c r="AM349" s="131">
        <f>IF(AK349=0,0,Таблиця!BT441)</f>
        <v>0</v>
      </c>
      <c r="AN349" s="129">
        <f>AK349*AM349</f>
        <v>0</v>
      </c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</row>
    <row r="350" spans="1:66" ht="30.75" customHeight="1" hidden="1">
      <c r="A350" s="136"/>
      <c r="B350" s="137"/>
      <c r="C350" s="137"/>
      <c r="D350" s="137"/>
      <c r="E350" s="138"/>
      <c r="F350" s="107" t="s">
        <v>96</v>
      </c>
      <c r="G350" s="75">
        <f aca="true" t="shared" si="317" ref="G350:AG350">IF(G349=0,"",завтракл*G349/1000)</f>
      </c>
      <c r="H350" s="23">
        <f t="shared" si="317"/>
      </c>
      <c r="I350" s="23"/>
      <c r="J350" s="23">
        <f t="shared" si="317"/>
      </c>
      <c r="K350" s="23">
        <f t="shared" si="317"/>
      </c>
      <c r="L350" s="122">
        <f t="shared" si="317"/>
      </c>
      <c r="M350" s="75">
        <f t="shared" si="317"/>
      </c>
      <c r="N350" s="83">
        <f t="shared" si="317"/>
      </c>
      <c r="O350" s="75">
        <f t="shared" si="317"/>
      </c>
      <c r="P350" s="23">
        <f t="shared" si="317"/>
      </c>
      <c r="Q350" s="23">
        <f t="shared" si="317"/>
      </c>
      <c r="R350" s="23">
        <f t="shared" si="317"/>
      </c>
      <c r="S350" s="23">
        <f t="shared" si="317"/>
      </c>
      <c r="T350" s="23">
        <f t="shared" si="317"/>
      </c>
      <c r="U350" s="23">
        <f t="shared" si="317"/>
      </c>
      <c r="V350" s="83">
        <f t="shared" si="317"/>
      </c>
      <c r="W350" s="25">
        <f t="shared" si="317"/>
      </c>
      <c r="X350" s="23"/>
      <c r="Y350" s="83">
        <f t="shared" si="317"/>
      </c>
      <c r="Z350" s="25">
        <f t="shared" si="317"/>
      </c>
      <c r="AA350" s="23">
        <f t="shared" si="317"/>
      </c>
      <c r="AB350" s="23">
        <f t="shared" si="317"/>
      </c>
      <c r="AC350" s="23">
        <f t="shared" si="317"/>
      </c>
      <c r="AD350" s="23">
        <f t="shared" si="317"/>
      </c>
      <c r="AE350" s="23">
        <f t="shared" si="317"/>
      </c>
      <c r="AF350" s="23">
        <f t="shared" si="317"/>
      </c>
      <c r="AG350" s="83">
        <f t="shared" si="317"/>
      </c>
      <c r="AH350" s="254"/>
      <c r="AI350" s="139"/>
      <c r="AJ350" s="140"/>
      <c r="AK350" s="143"/>
      <c r="AL350" s="143"/>
      <c r="AM350" s="132"/>
      <c r="AN350" s="130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</row>
    <row r="351" spans="1:66" ht="30.75" customHeight="1" hidden="1">
      <c r="A351" s="133"/>
      <c r="B351" s="134"/>
      <c r="C351" s="134"/>
      <c r="D351" s="134"/>
      <c r="E351" s="135"/>
      <c r="F351" s="106" t="s">
        <v>95</v>
      </c>
      <c r="G351" s="71">
        <f>VLOOKUP(завтрак1,таб,5,FALSE)</f>
        <v>0</v>
      </c>
      <c r="H351" s="26">
        <f>VLOOKUP(завтрак2,таб,5,FALSE)</f>
        <v>0</v>
      </c>
      <c r="I351" s="26"/>
      <c r="J351" s="26">
        <f>VLOOKUP(завтрак4,таб,5,FALSE)</f>
        <v>0</v>
      </c>
      <c r="K351" s="26">
        <f>VLOOKUP(завтрак5,таб,5,FALSE)</f>
        <v>0</v>
      </c>
      <c r="L351" s="116">
        <f>VLOOKUP(завтрак6,таб,5,FALSE)</f>
        <v>0</v>
      </c>
      <c r="M351" s="71">
        <f>VLOOKUP(завтрак7,таб,5,FALSE)</f>
        <v>0</v>
      </c>
      <c r="N351" s="81">
        <f>VLOOKUP(завтрак8,таб,5,FALSE)</f>
        <v>0</v>
      </c>
      <c r="O351" s="34">
        <f>VLOOKUP(обед1,таб,5,FALSE)</f>
        <v>0</v>
      </c>
      <c r="P351" s="33">
        <f>VLOOKUP(обед2,таб,5,FALSE)</f>
        <v>0</v>
      </c>
      <c r="Q351" s="33">
        <f>VLOOKUP(обед3,таб,5,FALSE)</f>
        <v>0</v>
      </c>
      <c r="R351" s="33">
        <f>VLOOKUP(обед4,таб,5,FALSE)</f>
        <v>0</v>
      </c>
      <c r="S351" s="33">
        <f>VLOOKUP(обед5,таб,5,FALSE)</f>
        <v>0</v>
      </c>
      <c r="T351" s="33">
        <f>VLOOKUP(обед6,таб,5,FALSE)</f>
        <v>0</v>
      </c>
      <c r="U351" s="33">
        <f>VLOOKUP(обед7,таб,5,FALSE)</f>
        <v>0</v>
      </c>
      <c r="V351" s="87">
        <f>VLOOKUP(обед8,таб,5,FALSE)</f>
        <v>0</v>
      </c>
      <c r="W351" s="34">
        <f>VLOOKUP(полдник1,таб,5,FALSE)</f>
        <v>0</v>
      </c>
      <c r="X351" s="33"/>
      <c r="Y351" s="87">
        <f>VLOOKUP(полдник3,таб,5,FALSE)</f>
        <v>0</v>
      </c>
      <c r="Z351" s="34">
        <f>VLOOKUP(ужин1,таб,5,FALSE)</f>
        <v>0</v>
      </c>
      <c r="AA351" s="33">
        <f>VLOOKUP(ужин2,таб,5,FALSE)</f>
        <v>0</v>
      </c>
      <c r="AB351" s="33">
        <f>VLOOKUP(ужин3,таб,5,FALSE)</f>
        <v>0</v>
      </c>
      <c r="AC351" s="33">
        <f>VLOOKUP(ужин4,таб,5,FALSE)</f>
        <v>0</v>
      </c>
      <c r="AD351" s="33">
        <f>VLOOKUP(ужин5,таб,5,FALSE)</f>
        <v>0</v>
      </c>
      <c r="AE351" s="33">
        <f>VLOOKUP(ужин6,таб,5,FALSE)</f>
        <v>0</v>
      </c>
      <c r="AF351" s="33">
        <f>VLOOKUP(ужин7,таб,5,FALSE)</f>
        <v>0</v>
      </c>
      <c r="AG351" s="87">
        <f>VLOOKUP(ужин8,таб,5,FALSE)</f>
        <v>0</v>
      </c>
      <c r="AH351" s="253"/>
      <c r="AI351" s="139">
        <f>AK351/сред</f>
        <v>0</v>
      </c>
      <c r="AJ351" s="140"/>
      <c r="AK351" s="143">
        <f>SUM(G352:AG352)</f>
        <v>0</v>
      </c>
      <c r="AL351" s="143"/>
      <c r="AM351" s="131">
        <f>IF(AK351=0,0,Таблиця!BT443)</f>
        <v>0</v>
      </c>
      <c r="AN351" s="129">
        <f>AK351*AM351</f>
        <v>0</v>
      </c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</row>
    <row r="352" spans="1:66" ht="30.75" customHeight="1" hidden="1">
      <c r="A352" s="136"/>
      <c r="B352" s="137"/>
      <c r="C352" s="137"/>
      <c r="D352" s="137"/>
      <c r="E352" s="138"/>
      <c r="F352" s="107" t="s">
        <v>96</v>
      </c>
      <c r="G352" s="75">
        <f aca="true" t="shared" si="318" ref="G352:AG352">IF(G351=0,"",завтракл*G351/1000)</f>
      </c>
      <c r="H352" s="23">
        <f t="shared" si="318"/>
      </c>
      <c r="I352" s="23"/>
      <c r="J352" s="23">
        <f t="shared" si="318"/>
      </c>
      <c r="K352" s="23">
        <f t="shared" si="318"/>
      </c>
      <c r="L352" s="122">
        <f t="shared" si="318"/>
      </c>
      <c r="M352" s="75">
        <f t="shared" si="318"/>
      </c>
      <c r="N352" s="83">
        <f t="shared" si="318"/>
      </c>
      <c r="O352" s="75">
        <f t="shared" si="318"/>
      </c>
      <c r="P352" s="23">
        <f t="shared" si="318"/>
      </c>
      <c r="Q352" s="23">
        <f t="shared" si="318"/>
      </c>
      <c r="R352" s="23">
        <f t="shared" si="318"/>
      </c>
      <c r="S352" s="23">
        <f t="shared" si="318"/>
      </c>
      <c r="T352" s="23">
        <f t="shared" si="318"/>
      </c>
      <c r="U352" s="23">
        <f t="shared" si="318"/>
      </c>
      <c r="V352" s="83">
        <f t="shared" si="318"/>
      </c>
      <c r="W352" s="25">
        <f t="shared" si="318"/>
      </c>
      <c r="X352" s="23"/>
      <c r="Y352" s="83">
        <f t="shared" si="318"/>
      </c>
      <c r="Z352" s="25">
        <f t="shared" si="318"/>
      </c>
      <c r="AA352" s="23">
        <f t="shared" si="318"/>
      </c>
      <c r="AB352" s="23">
        <f t="shared" si="318"/>
      </c>
      <c r="AC352" s="23">
        <f t="shared" si="318"/>
      </c>
      <c r="AD352" s="23">
        <f t="shared" si="318"/>
      </c>
      <c r="AE352" s="23">
        <f t="shared" si="318"/>
      </c>
      <c r="AF352" s="23">
        <f t="shared" si="318"/>
      </c>
      <c r="AG352" s="83">
        <f t="shared" si="318"/>
      </c>
      <c r="AH352" s="254"/>
      <c r="AI352" s="139"/>
      <c r="AJ352" s="140"/>
      <c r="AK352" s="143"/>
      <c r="AL352" s="143"/>
      <c r="AM352" s="132"/>
      <c r="AN352" s="130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</row>
    <row r="353" spans="1:66" ht="30.75" customHeight="1" hidden="1">
      <c r="A353" s="133"/>
      <c r="B353" s="134"/>
      <c r="C353" s="134"/>
      <c r="D353" s="134"/>
      <c r="E353" s="135"/>
      <c r="F353" s="106" t="s">
        <v>95</v>
      </c>
      <c r="G353" s="71">
        <f>VLOOKUP(завтрак1,таб,5,FALSE)</f>
        <v>0</v>
      </c>
      <c r="H353" s="26">
        <f>VLOOKUP(завтрак2,таб,5,FALSE)</f>
        <v>0</v>
      </c>
      <c r="I353" s="26"/>
      <c r="J353" s="26">
        <f>VLOOKUP(завтрак4,таб,5,FALSE)</f>
        <v>0</v>
      </c>
      <c r="K353" s="26">
        <f>VLOOKUP(завтрак5,таб,5,FALSE)</f>
        <v>0</v>
      </c>
      <c r="L353" s="116">
        <f>VLOOKUP(завтрак6,таб,5,FALSE)</f>
        <v>0</v>
      </c>
      <c r="M353" s="71">
        <f>VLOOKUP(завтрак7,таб,5,FALSE)</f>
        <v>0</v>
      </c>
      <c r="N353" s="81">
        <f>VLOOKUP(завтрак8,таб,5,FALSE)</f>
        <v>0</v>
      </c>
      <c r="O353" s="34">
        <f>VLOOKUP(обед1,таб,5,FALSE)</f>
        <v>0</v>
      </c>
      <c r="P353" s="33">
        <f>VLOOKUP(обед2,таб,5,FALSE)</f>
        <v>0</v>
      </c>
      <c r="Q353" s="33">
        <f>VLOOKUP(обед3,таб,5,FALSE)</f>
        <v>0</v>
      </c>
      <c r="R353" s="33">
        <f>VLOOKUP(обед4,таб,5,FALSE)</f>
        <v>0</v>
      </c>
      <c r="S353" s="33">
        <f>VLOOKUP(обед5,таб,5,FALSE)</f>
        <v>0</v>
      </c>
      <c r="T353" s="33">
        <f>VLOOKUP(обед6,таб,5,FALSE)</f>
        <v>0</v>
      </c>
      <c r="U353" s="33">
        <f>VLOOKUP(обед7,таб,5,FALSE)</f>
        <v>0</v>
      </c>
      <c r="V353" s="87">
        <f>VLOOKUP(обед8,таб,5,FALSE)</f>
        <v>0</v>
      </c>
      <c r="W353" s="34">
        <f>VLOOKUP(полдник1,таб,5,FALSE)</f>
        <v>0</v>
      </c>
      <c r="X353" s="33"/>
      <c r="Y353" s="87">
        <f>VLOOKUP(полдник3,таб,5,FALSE)</f>
        <v>0</v>
      </c>
      <c r="Z353" s="34">
        <f>VLOOKUP(ужин1,таб,5,FALSE)</f>
        <v>0</v>
      </c>
      <c r="AA353" s="33">
        <f>VLOOKUP(ужин2,таб,5,FALSE)</f>
        <v>0</v>
      </c>
      <c r="AB353" s="33">
        <f>VLOOKUP(ужин3,таб,5,FALSE)</f>
        <v>0</v>
      </c>
      <c r="AC353" s="33">
        <f>VLOOKUP(ужин4,таб,5,FALSE)</f>
        <v>0</v>
      </c>
      <c r="AD353" s="33">
        <f>VLOOKUP(ужин5,таб,5,FALSE)</f>
        <v>0</v>
      </c>
      <c r="AE353" s="33">
        <f>VLOOKUP(ужин6,таб,5,FALSE)</f>
        <v>0</v>
      </c>
      <c r="AF353" s="33">
        <f>VLOOKUP(ужин7,таб,5,FALSE)</f>
        <v>0</v>
      </c>
      <c r="AG353" s="87">
        <f>VLOOKUP(ужин8,таб,5,FALSE)</f>
        <v>0</v>
      </c>
      <c r="AH353" s="253"/>
      <c r="AI353" s="139">
        <f>AK353/сред</f>
        <v>0</v>
      </c>
      <c r="AJ353" s="140"/>
      <c r="AK353" s="143">
        <f>SUM(G354:AG354)</f>
        <v>0</v>
      </c>
      <c r="AL353" s="143"/>
      <c r="AM353" s="131">
        <f>IF(AK353=0,0,Таблиця!BT445)</f>
        <v>0</v>
      </c>
      <c r="AN353" s="129">
        <f>AK353*AM353</f>
        <v>0</v>
      </c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</row>
    <row r="354" spans="1:66" ht="30.75" customHeight="1" hidden="1">
      <c r="A354" s="136"/>
      <c r="B354" s="137"/>
      <c r="C354" s="137"/>
      <c r="D354" s="137"/>
      <c r="E354" s="138"/>
      <c r="F354" s="107" t="s">
        <v>96</v>
      </c>
      <c r="G354" s="75">
        <f aca="true" t="shared" si="319" ref="G354:AG354">IF(G353=0,"",завтракл*G353/1000)</f>
      </c>
      <c r="H354" s="23">
        <f t="shared" si="319"/>
      </c>
      <c r="I354" s="23"/>
      <c r="J354" s="23">
        <f t="shared" si="319"/>
      </c>
      <c r="K354" s="23">
        <f t="shared" si="319"/>
      </c>
      <c r="L354" s="122">
        <f t="shared" si="319"/>
      </c>
      <c r="M354" s="75">
        <f t="shared" si="319"/>
      </c>
      <c r="N354" s="83">
        <f t="shared" si="319"/>
      </c>
      <c r="O354" s="75">
        <f t="shared" si="319"/>
      </c>
      <c r="P354" s="23">
        <f t="shared" si="319"/>
      </c>
      <c r="Q354" s="23">
        <f t="shared" si="319"/>
      </c>
      <c r="R354" s="23">
        <f t="shared" si="319"/>
      </c>
      <c r="S354" s="23">
        <f t="shared" si="319"/>
      </c>
      <c r="T354" s="23">
        <f t="shared" si="319"/>
      </c>
      <c r="U354" s="23">
        <f t="shared" si="319"/>
      </c>
      <c r="V354" s="83">
        <f t="shared" si="319"/>
      </c>
      <c r="W354" s="25">
        <f t="shared" si="319"/>
      </c>
      <c r="X354" s="23"/>
      <c r="Y354" s="83">
        <f t="shared" si="319"/>
      </c>
      <c r="Z354" s="25">
        <f t="shared" si="319"/>
      </c>
      <c r="AA354" s="23">
        <f t="shared" si="319"/>
      </c>
      <c r="AB354" s="23">
        <f t="shared" si="319"/>
      </c>
      <c r="AC354" s="23">
        <f t="shared" si="319"/>
      </c>
      <c r="AD354" s="23">
        <f t="shared" si="319"/>
      </c>
      <c r="AE354" s="23">
        <f t="shared" si="319"/>
      </c>
      <c r="AF354" s="23">
        <f t="shared" si="319"/>
      </c>
      <c r="AG354" s="83">
        <f t="shared" si="319"/>
      </c>
      <c r="AH354" s="254"/>
      <c r="AI354" s="139"/>
      <c r="AJ354" s="140"/>
      <c r="AK354" s="143"/>
      <c r="AL354" s="143"/>
      <c r="AM354" s="132"/>
      <c r="AN354" s="130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</row>
    <row r="355" spans="1:66" ht="30.75" customHeight="1" hidden="1">
      <c r="A355" s="133"/>
      <c r="B355" s="134"/>
      <c r="C355" s="134"/>
      <c r="D355" s="134"/>
      <c r="E355" s="135"/>
      <c r="F355" s="106" t="s">
        <v>95</v>
      </c>
      <c r="G355" s="71">
        <f>VLOOKUP(завтрак1,таб,5,FALSE)</f>
        <v>0</v>
      </c>
      <c r="H355" s="26">
        <f>VLOOKUP(завтрак2,таб,5,FALSE)</f>
        <v>0</v>
      </c>
      <c r="I355" s="26"/>
      <c r="J355" s="26">
        <f>VLOOKUP(завтрак4,таб,5,FALSE)</f>
        <v>0</v>
      </c>
      <c r="K355" s="26">
        <f>VLOOKUP(завтрак5,таб,5,FALSE)</f>
        <v>0</v>
      </c>
      <c r="L355" s="116">
        <f>VLOOKUP(завтрак6,таб,5,FALSE)</f>
        <v>0</v>
      </c>
      <c r="M355" s="71">
        <f>VLOOKUP(завтрак7,таб,5,FALSE)</f>
        <v>0</v>
      </c>
      <c r="N355" s="81">
        <f>VLOOKUP(завтрак8,таб,5,FALSE)</f>
        <v>0</v>
      </c>
      <c r="O355" s="34">
        <f>VLOOKUP(обед1,таб,5,FALSE)</f>
        <v>0</v>
      </c>
      <c r="P355" s="33">
        <f>VLOOKUP(обед2,таб,5,FALSE)</f>
        <v>0</v>
      </c>
      <c r="Q355" s="33">
        <f>VLOOKUP(обед3,таб,5,FALSE)</f>
        <v>0</v>
      </c>
      <c r="R355" s="33">
        <f>VLOOKUP(обед4,таб,5,FALSE)</f>
        <v>0</v>
      </c>
      <c r="S355" s="33">
        <f>VLOOKUP(обед5,таб,5,FALSE)</f>
        <v>0</v>
      </c>
      <c r="T355" s="33">
        <f>VLOOKUP(обед6,таб,5,FALSE)</f>
        <v>0</v>
      </c>
      <c r="U355" s="33">
        <f>VLOOKUP(обед7,таб,5,FALSE)</f>
        <v>0</v>
      </c>
      <c r="V355" s="87">
        <f>VLOOKUP(обед8,таб,5,FALSE)</f>
        <v>0</v>
      </c>
      <c r="W355" s="34">
        <f>VLOOKUP(полдник1,таб,5,FALSE)</f>
        <v>0</v>
      </c>
      <c r="X355" s="33"/>
      <c r="Y355" s="87">
        <f>VLOOKUP(полдник3,таб,5,FALSE)</f>
        <v>0</v>
      </c>
      <c r="Z355" s="34">
        <f>VLOOKUP(ужин1,таб,5,FALSE)</f>
        <v>0</v>
      </c>
      <c r="AA355" s="33">
        <f>VLOOKUP(ужин2,таб,5,FALSE)</f>
        <v>0</v>
      </c>
      <c r="AB355" s="33">
        <f>VLOOKUP(ужин3,таб,5,FALSE)</f>
        <v>0</v>
      </c>
      <c r="AC355" s="33">
        <f>VLOOKUP(ужин4,таб,5,FALSE)</f>
        <v>0</v>
      </c>
      <c r="AD355" s="33">
        <f>VLOOKUP(ужин5,таб,5,FALSE)</f>
        <v>0</v>
      </c>
      <c r="AE355" s="33">
        <f>VLOOKUP(ужин6,таб,5,FALSE)</f>
        <v>0</v>
      </c>
      <c r="AF355" s="33">
        <f>VLOOKUP(ужин7,таб,5,FALSE)</f>
        <v>0</v>
      </c>
      <c r="AG355" s="87">
        <f>VLOOKUP(ужин8,таб,5,FALSE)</f>
        <v>0</v>
      </c>
      <c r="AH355" s="253"/>
      <c r="AI355" s="139">
        <f>AK355/сред</f>
        <v>0</v>
      </c>
      <c r="AJ355" s="140"/>
      <c r="AK355" s="143">
        <f>SUM(G356:AG356)</f>
        <v>0</v>
      </c>
      <c r="AL355" s="143"/>
      <c r="AM355" s="131">
        <f>IF(AK355=0,0,Таблиця!BT447)</f>
        <v>0</v>
      </c>
      <c r="AN355" s="129">
        <f>AK355*AM355</f>
        <v>0</v>
      </c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</row>
    <row r="356" spans="1:66" ht="30.75" customHeight="1" hidden="1">
      <c r="A356" s="136"/>
      <c r="B356" s="137"/>
      <c r="C356" s="137"/>
      <c r="D356" s="137"/>
      <c r="E356" s="138"/>
      <c r="F356" s="107" t="s">
        <v>96</v>
      </c>
      <c r="G356" s="75">
        <f aca="true" t="shared" si="320" ref="G356:AG356">IF(G355=0,"",завтракл*G355/1000)</f>
      </c>
      <c r="H356" s="23">
        <f t="shared" si="320"/>
      </c>
      <c r="I356" s="23"/>
      <c r="J356" s="23">
        <f t="shared" si="320"/>
      </c>
      <c r="K356" s="23">
        <f t="shared" si="320"/>
      </c>
      <c r="L356" s="122">
        <f t="shared" si="320"/>
      </c>
      <c r="M356" s="75">
        <f t="shared" si="320"/>
      </c>
      <c r="N356" s="83">
        <f t="shared" si="320"/>
      </c>
      <c r="O356" s="75">
        <f t="shared" si="320"/>
      </c>
      <c r="P356" s="23">
        <f t="shared" si="320"/>
      </c>
      <c r="Q356" s="23">
        <f t="shared" si="320"/>
      </c>
      <c r="R356" s="23">
        <f t="shared" si="320"/>
      </c>
      <c r="S356" s="23">
        <f t="shared" si="320"/>
      </c>
      <c r="T356" s="23">
        <f t="shared" si="320"/>
      </c>
      <c r="U356" s="23">
        <f t="shared" si="320"/>
      </c>
      <c r="V356" s="83">
        <f t="shared" si="320"/>
      </c>
      <c r="W356" s="25">
        <f t="shared" si="320"/>
      </c>
      <c r="X356" s="23"/>
      <c r="Y356" s="83">
        <f t="shared" si="320"/>
      </c>
      <c r="Z356" s="25">
        <f t="shared" si="320"/>
      </c>
      <c r="AA356" s="23">
        <f t="shared" si="320"/>
      </c>
      <c r="AB356" s="23">
        <f t="shared" si="320"/>
      </c>
      <c r="AC356" s="23">
        <f t="shared" si="320"/>
      </c>
      <c r="AD356" s="23">
        <f t="shared" si="320"/>
      </c>
      <c r="AE356" s="23">
        <f t="shared" si="320"/>
      </c>
      <c r="AF356" s="23">
        <f t="shared" si="320"/>
      </c>
      <c r="AG356" s="83">
        <f t="shared" si="320"/>
      </c>
      <c r="AH356" s="254"/>
      <c r="AI356" s="139"/>
      <c r="AJ356" s="140"/>
      <c r="AK356" s="143"/>
      <c r="AL356" s="143"/>
      <c r="AM356" s="132"/>
      <c r="AN356" s="130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</row>
    <row r="357" spans="1:66" ht="30.75" customHeight="1" hidden="1">
      <c r="A357" s="133"/>
      <c r="B357" s="134"/>
      <c r="C357" s="134"/>
      <c r="D357" s="134"/>
      <c r="E357" s="135"/>
      <c r="F357" s="106" t="s">
        <v>95</v>
      </c>
      <c r="G357" s="71">
        <f>VLOOKUP(завтрак1,таб,5,FALSE)</f>
        <v>0</v>
      </c>
      <c r="H357" s="26">
        <f>VLOOKUP(завтрак2,таб,5,FALSE)</f>
        <v>0</v>
      </c>
      <c r="I357" s="26"/>
      <c r="J357" s="26">
        <f>VLOOKUP(завтрак4,таб,5,FALSE)</f>
        <v>0</v>
      </c>
      <c r="K357" s="26">
        <f>VLOOKUP(завтрак5,таб,5,FALSE)</f>
        <v>0</v>
      </c>
      <c r="L357" s="116">
        <f>VLOOKUP(завтрак6,таб,5,FALSE)</f>
        <v>0</v>
      </c>
      <c r="M357" s="71">
        <f>VLOOKUP(завтрак7,таб,5,FALSE)</f>
        <v>0</v>
      </c>
      <c r="N357" s="81">
        <f>VLOOKUP(завтрак8,таб,5,FALSE)</f>
        <v>0</v>
      </c>
      <c r="O357" s="34">
        <f>VLOOKUP(обед1,таб,5,FALSE)</f>
        <v>0</v>
      </c>
      <c r="P357" s="33">
        <f>VLOOKUP(обед2,таб,5,FALSE)</f>
        <v>0</v>
      </c>
      <c r="Q357" s="33">
        <f>VLOOKUP(обед3,таб,5,FALSE)</f>
        <v>0</v>
      </c>
      <c r="R357" s="33">
        <f>VLOOKUP(обед4,таб,5,FALSE)</f>
        <v>0</v>
      </c>
      <c r="S357" s="33">
        <f>VLOOKUP(обед5,таб,5,FALSE)</f>
        <v>0</v>
      </c>
      <c r="T357" s="33">
        <f>VLOOKUP(обед6,таб,5,FALSE)</f>
        <v>0</v>
      </c>
      <c r="U357" s="33">
        <f>VLOOKUP(обед7,таб,5,FALSE)</f>
        <v>0</v>
      </c>
      <c r="V357" s="87">
        <f>VLOOKUP(обед8,таб,5,FALSE)</f>
        <v>0</v>
      </c>
      <c r="W357" s="34">
        <f>VLOOKUP(полдник1,таб,5,FALSE)</f>
        <v>0</v>
      </c>
      <c r="X357" s="33"/>
      <c r="Y357" s="87">
        <f>VLOOKUP(полдник3,таб,5,FALSE)</f>
        <v>0</v>
      </c>
      <c r="Z357" s="34">
        <f>VLOOKUP(ужин1,таб,5,FALSE)</f>
        <v>0</v>
      </c>
      <c r="AA357" s="33">
        <f>VLOOKUP(ужин2,таб,5,FALSE)</f>
        <v>0</v>
      </c>
      <c r="AB357" s="33">
        <f>VLOOKUP(ужин3,таб,5,FALSE)</f>
        <v>0</v>
      </c>
      <c r="AC357" s="33">
        <f>VLOOKUP(ужин4,таб,5,FALSE)</f>
        <v>0</v>
      </c>
      <c r="AD357" s="33">
        <f>VLOOKUP(ужин5,таб,5,FALSE)</f>
        <v>0</v>
      </c>
      <c r="AE357" s="33">
        <f>VLOOKUP(ужин6,таб,5,FALSE)</f>
        <v>0</v>
      </c>
      <c r="AF357" s="33">
        <f>VLOOKUP(ужин7,таб,5,FALSE)</f>
        <v>0</v>
      </c>
      <c r="AG357" s="87">
        <f>VLOOKUP(ужин8,таб,5,FALSE)</f>
        <v>0</v>
      </c>
      <c r="AH357" s="253"/>
      <c r="AI357" s="139">
        <f>AK357/сред</f>
        <v>0</v>
      </c>
      <c r="AJ357" s="140"/>
      <c r="AK357" s="143">
        <f>SUM(G358:AG358)</f>
        <v>0</v>
      </c>
      <c r="AL357" s="143"/>
      <c r="AM357" s="131">
        <f>IF(AK357=0,0,Таблиця!BT449)</f>
        <v>0</v>
      </c>
      <c r="AN357" s="129">
        <f>AK357*AM357</f>
        <v>0</v>
      </c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</row>
    <row r="358" spans="1:66" ht="30.75" customHeight="1" hidden="1">
      <c r="A358" s="136"/>
      <c r="B358" s="137"/>
      <c r="C358" s="137"/>
      <c r="D358" s="137"/>
      <c r="E358" s="138"/>
      <c r="F358" s="107" t="s">
        <v>96</v>
      </c>
      <c r="G358" s="75">
        <f aca="true" t="shared" si="321" ref="G358:AG358">IF(G357=0,"",завтракл*G357/1000)</f>
      </c>
      <c r="H358" s="23">
        <f t="shared" si="321"/>
      </c>
      <c r="I358" s="23"/>
      <c r="J358" s="23">
        <f t="shared" si="321"/>
      </c>
      <c r="K358" s="23">
        <f t="shared" si="321"/>
      </c>
      <c r="L358" s="122">
        <f t="shared" si="321"/>
      </c>
      <c r="M358" s="75">
        <f t="shared" si="321"/>
      </c>
      <c r="N358" s="83">
        <f t="shared" si="321"/>
      </c>
      <c r="O358" s="75">
        <f t="shared" si="321"/>
      </c>
      <c r="P358" s="23">
        <f t="shared" si="321"/>
      </c>
      <c r="Q358" s="23">
        <f t="shared" si="321"/>
      </c>
      <c r="R358" s="23">
        <f t="shared" si="321"/>
      </c>
      <c r="S358" s="23">
        <f t="shared" si="321"/>
      </c>
      <c r="T358" s="23">
        <f t="shared" si="321"/>
      </c>
      <c r="U358" s="23">
        <f t="shared" si="321"/>
      </c>
      <c r="V358" s="83">
        <f t="shared" si="321"/>
      </c>
      <c r="W358" s="25">
        <f t="shared" si="321"/>
      </c>
      <c r="X358" s="23"/>
      <c r="Y358" s="83">
        <f t="shared" si="321"/>
      </c>
      <c r="Z358" s="25">
        <f t="shared" si="321"/>
      </c>
      <c r="AA358" s="23">
        <f t="shared" si="321"/>
      </c>
      <c r="AB358" s="23">
        <f t="shared" si="321"/>
      </c>
      <c r="AC358" s="23">
        <f t="shared" si="321"/>
      </c>
      <c r="AD358" s="23">
        <f t="shared" si="321"/>
      </c>
      <c r="AE358" s="23">
        <f t="shared" si="321"/>
      </c>
      <c r="AF358" s="23">
        <f t="shared" si="321"/>
      </c>
      <c r="AG358" s="83">
        <f t="shared" si="321"/>
      </c>
      <c r="AH358" s="254"/>
      <c r="AI358" s="139"/>
      <c r="AJ358" s="140"/>
      <c r="AK358" s="143"/>
      <c r="AL358" s="143"/>
      <c r="AM358" s="132"/>
      <c r="AN358" s="130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</row>
    <row r="359" spans="1:66" ht="30.75" customHeight="1" hidden="1">
      <c r="A359" s="133"/>
      <c r="B359" s="134"/>
      <c r="C359" s="134"/>
      <c r="D359" s="134"/>
      <c r="E359" s="135"/>
      <c r="F359" s="106" t="s">
        <v>95</v>
      </c>
      <c r="G359" s="71">
        <f>VLOOKUP(завтрак1,таб,5,FALSE)</f>
        <v>0</v>
      </c>
      <c r="H359" s="26">
        <f>VLOOKUP(завтрак2,таб,5,FALSE)</f>
        <v>0</v>
      </c>
      <c r="I359" s="26"/>
      <c r="J359" s="26">
        <f>VLOOKUP(завтрак4,таб,5,FALSE)</f>
        <v>0</v>
      </c>
      <c r="K359" s="26">
        <f>VLOOKUP(завтрак5,таб,5,FALSE)</f>
        <v>0</v>
      </c>
      <c r="L359" s="116">
        <f>VLOOKUP(завтрак6,таб,5,FALSE)</f>
        <v>0</v>
      </c>
      <c r="M359" s="71">
        <f>VLOOKUP(завтрак7,таб,5,FALSE)</f>
        <v>0</v>
      </c>
      <c r="N359" s="81">
        <f>VLOOKUP(завтрак8,таб,5,FALSE)</f>
        <v>0</v>
      </c>
      <c r="O359" s="34">
        <f>VLOOKUP(обед1,таб,5,FALSE)</f>
        <v>0</v>
      </c>
      <c r="P359" s="33">
        <f>VLOOKUP(обед2,таб,5,FALSE)</f>
        <v>0</v>
      </c>
      <c r="Q359" s="33">
        <f>VLOOKUP(обед3,таб,5,FALSE)</f>
        <v>0</v>
      </c>
      <c r="R359" s="33">
        <f>VLOOKUP(обед4,таб,5,FALSE)</f>
        <v>0</v>
      </c>
      <c r="S359" s="33">
        <f>VLOOKUP(обед5,таб,5,FALSE)</f>
        <v>0</v>
      </c>
      <c r="T359" s="33">
        <f>VLOOKUP(обед6,таб,5,FALSE)</f>
        <v>0</v>
      </c>
      <c r="U359" s="33">
        <f>VLOOKUP(обед7,таб,5,FALSE)</f>
        <v>0</v>
      </c>
      <c r="V359" s="87">
        <f>VLOOKUP(обед8,таб,5,FALSE)</f>
        <v>0</v>
      </c>
      <c r="W359" s="34">
        <f>VLOOKUP(полдник1,таб,5,FALSE)</f>
        <v>0</v>
      </c>
      <c r="X359" s="33"/>
      <c r="Y359" s="87">
        <f>VLOOKUP(полдник3,таб,5,FALSE)</f>
        <v>0</v>
      </c>
      <c r="Z359" s="34">
        <f>VLOOKUP(ужин1,таб,5,FALSE)</f>
        <v>0</v>
      </c>
      <c r="AA359" s="33">
        <f>VLOOKUP(ужин2,таб,5,FALSE)</f>
        <v>0</v>
      </c>
      <c r="AB359" s="33">
        <f>VLOOKUP(ужин3,таб,5,FALSE)</f>
        <v>0</v>
      </c>
      <c r="AC359" s="33">
        <f>VLOOKUP(ужин4,таб,5,FALSE)</f>
        <v>0</v>
      </c>
      <c r="AD359" s="33">
        <f>VLOOKUP(ужин5,таб,5,FALSE)</f>
        <v>0</v>
      </c>
      <c r="AE359" s="33">
        <f>VLOOKUP(ужин6,таб,5,FALSE)</f>
        <v>0</v>
      </c>
      <c r="AF359" s="33">
        <f>VLOOKUP(ужин7,таб,5,FALSE)</f>
        <v>0</v>
      </c>
      <c r="AG359" s="87">
        <f>VLOOKUP(ужин8,таб,5,FALSE)</f>
        <v>0</v>
      </c>
      <c r="AH359" s="253"/>
      <c r="AI359" s="139">
        <f>AK359/сред</f>
        <v>0</v>
      </c>
      <c r="AJ359" s="140"/>
      <c r="AK359" s="143">
        <f>SUM(G360:AG360)</f>
        <v>0</v>
      </c>
      <c r="AL359" s="143"/>
      <c r="AM359" s="131">
        <f>IF(AK359=0,0,Таблиця!BT451)</f>
        <v>0</v>
      </c>
      <c r="AN359" s="129">
        <f>AK359*AM359</f>
        <v>0</v>
      </c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</row>
    <row r="360" spans="1:66" ht="30.75" customHeight="1" hidden="1">
      <c r="A360" s="136"/>
      <c r="B360" s="137"/>
      <c r="C360" s="137"/>
      <c r="D360" s="137"/>
      <c r="E360" s="138"/>
      <c r="F360" s="107" t="s">
        <v>96</v>
      </c>
      <c r="G360" s="75">
        <f aca="true" t="shared" si="322" ref="G360:AG360">IF(G359=0,"",завтракл*G359/1000)</f>
      </c>
      <c r="H360" s="23">
        <f t="shared" si="322"/>
      </c>
      <c r="I360" s="23"/>
      <c r="J360" s="23">
        <f t="shared" si="322"/>
      </c>
      <c r="K360" s="23">
        <f t="shared" si="322"/>
      </c>
      <c r="L360" s="122">
        <f t="shared" si="322"/>
      </c>
      <c r="M360" s="75">
        <f t="shared" si="322"/>
      </c>
      <c r="N360" s="83">
        <f t="shared" si="322"/>
      </c>
      <c r="O360" s="75">
        <f t="shared" si="322"/>
      </c>
      <c r="P360" s="23">
        <f t="shared" si="322"/>
      </c>
      <c r="Q360" s="23">
        <f t="shared" si="322"/>
      </c>
      <c r="R360" s="23">
        <f t="shared" si="322"/>
      </c>
      <c r="S360" s="23">
        <f t="shared" si="322"/>
      </c>
      <c r="T360" s="23">
        <f t="shared" si="322"/>
      </c>
      <c r="U360" s="23">
        <f t="shared" si="322"/>
      </c>
      <c r="V360" s="83">
        <f t="shared" si="322"/>
      </c>
      <c r="W360" s="25">
        <f t="shared" si="322"/>
      </c>
      <c r="X360" s="23"/>
      <c r="Y360" s="83">
        <f t="shared" si="322"/>
      </c>
      <c r="Z360" s="25">
        <f t="shared" si="322"/>
      </c>
      <c r="AA360" s="23">
        <f t="shared" si="322"/>
      </c>
      <c r="AB360" s="23">
        <f t="shared" si="322"/>
      </c>
      <c r="AC360" s="23">
        <f t="shared" si="322"/>
      </c>
      <c r="AD360" s="23">
        <f t="shared" si="322"/>
      </c>
      <c r="AE360" s="23">
        <f t="shared" si="322"/>
      </c>
      <c r="AF360" s="23">
        <f t="shared" si="322"/>
      </c>
      <c r="AG360" s="83">
        <f t="shared" si="322"/>
      </c>
      <c r="AH360" s="254"/>
      <c r="AI360" s="139"/>
      <c r="AJ360" s="140"/>
      <c r="AK360" s="143"/>
      <c r="AL360" s="143"/>
      <c r="AM360" s="132"/>
      <c r="AN360" s="130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</row>
    <row r="361" spans="1:66" ht="30.75" customHeight="1" hidden="1">
      <c r="A361" s="133"/>
      <c r="B361" s="134"/>
      <c r="C361" s="134"/>
      <c r="D361" s="134"/>
      <c r="E361" s="135"/>
      <c r="F361" s="106" t="s">
        <v>95</v>
      </c>
      <c r="G361" s="71">
        <f>VLOOKUP(завтрак1,таб,5,FALSE)</f>
        <v>0</v>
      </c>
      <c r="H361" s="26">
        <f>VLOOKUP(завтрак2,таб,5,FALSE)</f>
        <v>0</v>
      </c>
      <c r="I361" s="26"/>
      <c r="J361" s="26">
        <f>VLOOKUP(завтрак4,таб,5,FALSE)</f>
        <v>0</v>
      </c>
      <c r="K361" s="26">
        <f>VLOOKUP(завтрак5,таб,5,FALSE)</f>
        <v>0</v>
      </c>
      <c r="L361" s="116">
        <f>VLOOKUP(завтрак6,таб,5,FALSE)</f>
        <v>0</v>
      </c>
      <c r="M361" s="71">
        <f>VLOOKUP(завтрак7,таб,5,FALSE)</f>
        <v>0</v>
      </c>
      <c r="N361" s="81">
        <f>VLOOKUP(завтрак8,таб,5,FALSE)</f>
        <v>0</v>
      </c>
      <c r="O361" s="34">
        <f>VLOOKUP(обед1,таб,5,FALSE)</f>
        <v>0</v>
      </c>
      <c r="P361" s="33">
        <f>VLOOKUP(обед2,таб,5,FALSE)</f>
        <v>0</v>
      </c>
      <c r="Q361" s="33">
        <f>VLOOKUP(обед3,таб,5,FALSE)</f>
        <v>0</v>
      </c>
      <c r="R361" s="33">
        <f>VLOOKUP(обед4,таб,5,FALSE)</f>
        <v>0</v>
      </c>
      <c r="S361" s="33">
        <f>VLOOKUP(обед5,таб,5,FALSE)</f>
        <v>0</v>
      </c>
      <c r="T361" s="33">
        <f>VLOOKUP(обед6,таб,5,FALSE)</f>
        <v>0</v>
      </c>
      <c r="U361" s="33">
        <f>VLOOKUP(обед7,таб,5,FALSE)</f>
        <v>0</v>
      </c>
      <c r="V361" s="87">
        <f>VLOOKUP(обед8,таб,5,FALSE)</f>
        <v>0</v>
      </c>
      <c r="W361" s="34">
        <f>VLOOKUP(полдник1,таб,5,FALSE)</f>
        <v>0</v>
      </c>
      <c r="X361" s="33"/>
      <c r="Y361" s="87">
        <f>VLOOKUP(полдник3,таб,5,FALSE)</f>
        <v>0</v>
      </c>
      <c r="Z361" s="34">
        <f>VLOOKUP(ужин1,таб,5,FALSE)</f>
        <v>0</v>
      </c>
      <c r="AA361" s="33">
        <f>VLOOKUP(ужин2,таб,5,FALSE)</f>
        <v>0</v>
      </c>
      <c r="AB361" s="33">
        <f>VLOOKUP(ужин3,таб,5,FALSE)</f>
        <v>0</v>
      </c>
      <c r="AC361" s="33">
        <f>VLOOKUP(ужин4,таб,5,FALSE)</f>
        <v>0</v>
      </c>
      <c r="AD361" s="33">
        <f>VLOOKUP(ужин5,таб,5,FALSE)</f>
        <v>0</v>
      </c>
      <c r="AE361" s="33">
        <f>VLOOKUP(ужин6,таб,5,FALSE)</f>
        <v>0</v>
      </c>
      <c r="AF361" s="33">
        <f>VLOOKUP(ужин7,таб,5,FALSE)</f>
        <v>0</v>
      </c>
      <c r="AG361" s="87">
        <f>VLOOKUP(ужин8,таб,5,FALSE)</f>
        <v>0</v>
      </c>
      <c r="AH361" s="253"/>
      <c r="AI361" s="139">
        <f>AK361/сред</f>
        <v>0</v>
      </c>
      <c r="AJ361" s="140"/>
      <c r="AK361" s="143">
        <f>SUM(G362:AG362)</f>
        <v>0</v>
      </c>
      <c r="AL361" s="143"/>
      <c r="AM361" s="131">
        <f>IF(AK361=0,0,Таблиця!BT453)</f>
        <v>0</v>
      </c>
      <c r="AN361" s="129">
        <f>AK361*AM361</f>
        <v>0</v>
      </c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</row>
    <row r="362" spans="1:66" ht="30.75" customHeight="1" hidden="1">
      <c r="A362" s="136"/>
      <c r="B362" s="137"/>
      <c r="C362" s="137"/>
      <c r="D362" s="137"/>
      <c r="E362" s="138"/>
      <c r="F362" s="107" t="s">
        <v>96</v>
      </c>
      <c r="G362" s="75">
        <f aca="true" t="shared" si="323" ref="G362:AG362">IF(G361=0,"",завтракл*G361/1000)</f>
      </c>
      <c r="H362" s="23">
        <f t="shared" si="323"/>
      </c>
      <c r="I362" s="23"/>
      <c r="J362" s="23">
        <f t="shared" si="323"/>
      </c>
      <c r="K362" s="23">
        <f t="shared" si="323"/>
      </c>
      <c r="L362" s="122">
        <f t="shared" si="323"/>
      </c>
      <c r="M362" s="75">
        <f t="shared" si="323"/>
      </c>
      <c r="N362" s="83">
        <f t="shared" si="323"/>
      </c>
      <c r="O362" s="75">
        <f t="shared" si="323"/>
      </c>
      <c r="P362" s="23">
        <f t="shared" si="323"/>
      </c>
      <c r="Q362" s="23">
        <f t="shared" si="323"/>
      </c>
      <c r="R362" s="23">
        <f t="shared" si="323"/>
      </c>
      <c r="S362" s="23">
        <f t="shared" si="323"/>
      </c>
      <c r="T362" s="23">
        <f t="shared" si="323"/>
      </c>
      <c r="U362" s="23">
        <f t="shared" si="323"/>
      </c>
      <c r="V362" s="83">
        <f t="shared" si="323"/>
      </c>
      <c r="W362" s="25">
        <f t="shared" si="323"/>
      </c>
      <c r="X362" s="23"/>
      <c r="Y362" s="83">
        <f t="shared" si="323"/>
      </c>
      <c r="Z362" s="25">
        <f t="shared" si="323"/>
      </c>
      <c r="AA362" s="23">
        <f t="shared" si="323"/>
      </c>
      <c r="AB362" s="23">
        <f t="shared" si="323"/>
      </c>
      <c r="AC362" s="23">
        <f t="shared" si="323"/>
      </c>
      <c r="AD362" s="23">
        <f t="shared" si="323"/>
      </c>
      <c r="AE362" s="23">
        <f t="shared" si="323"/>
      </c>
      <c r="AF362" s="23">
        <f t="shared" si="323"/>
      </c>
      <c r="AG362" s="83">
        <f t="shared" si="323"/>
      </c>
      <c r="AH362" s="254"/>
      <c r="AI362" s="139"/>
      <c r="AJ362" s="140"/>
      <c r="AK362" s="143"/>
      <c r="AL362" s="143"/>
      <c r="AM362" s="132"/>
      <c r="AN362" s="130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</row>
    <row r="363" spans="1:66" ht="30.75" customHeight="1" hidden="1">
      <c r="A363" s="133"/>
      <c r="B363" s="134"/>
      <c r="C363" s="134"/>
      <c r="D363" s="134"/>
      <c r="E363" s="135"/>
      <c r="F363" s="106" t="s">
        <v>95</v>
      </c>
      <c r="G363" s="71">
        <f>VLOOKUP(завтрак1,таб,5,FALSE)</f>
        <v>0</v>
      </c>
      <c r="H363" s="26">
        <f>VLOOKUP(завтрак2,таб,5,FALSE)</f>
        <v>0</v>
      </c>
      <c r="I363" s="26"/>
      <c r="J363" s="26">
        <f>VLOOKUP(завтрак4,таб,5,FALSE)</f>
        <v>0</v>
      </c>
      <c r="K363" s="26">
        <f>VLOOKUP(завтрак5,таб,5,FALSE)</f>
        <v>0</v>
      </c>
      <c r="L363" s="116">
        <f>VLOOKUP(завтрак6,таб,5,FALSE)</f>
        <v>0</v>
      </c>
      <c r="M363" s="71">
        <f>VLOOKUP(завтрак7,таб,5,FALSE)</f>
        <v>0</v>
      </c>
      <c r="N363" s="81">
        <f>VLOOKUP(завтрак8,таб,5,FALSE)</f>
        <v>0</v>
      </c>
      <c r="O363" s="34">
        <f>VLOOKUP(обед1,таб,5,FALSE)</f>
        <v>0</v>
      </c>
      <c r="P363" s="33">
        <f>VLOOKUP(обед2,таб,5,FALSE)</f>
        <v>0</v>
      </c>
      <c r="Q363" s="33">
        <f>VLOOKUP(обед3,таб,5,FALSE)</f>
        <v>0</v>
      </c>
      <c r="R363" s="33">
        <f>VLOOKUP(обед4,таб,5,FALSE)</f>
        <v>0</v>
      </c>
      <c r="S363" s="33">
        <f>VLOOKUP(обед5,таб,5,FALSE)</f>
        <v>0</v>
      </c>
      <c r="T363" s="33">
        <f>VLOOKUP(обед6,таб,5,FALSE)</f>
        <v>0</v>
      </c>
      <c r="U363" s="33">
        <f>VLOOKUP(обед7,таб,5,FALSE)</f>
        <v>0</v>
      </c>
      <c r="V363" s="87">
        <f>VLOOKUP(обед8,таб,5,FALSE)</f>
        <v>0</v>
      </c>
      <c r="W363" s="34">
        <f>VLOOKUP(полдник1,таб,5,FALSE)</f>
        <v>0</v>
      </c>
      <c r="X363" s="33"/>
      <c r="Y363" s="87">
        <f>VLOOKUP(полдник3,таб,5,FALSE)</f>
        <v>0</v>
      </c>
      <c r="Z363" s="34">
        <f>VLOOKUP(ужин1,таб,5,FALSE)</f>
        <v>0</v>
      </c>
      <c r="AA363" s="33">
        <f>VLOOKUP(ужин2,таб,5,FALSE)</f>
        <v>0</v>
      </c>
      <c r="AB363" s="33">
        <f>VLOOKUP(ужин3,таб,5,FALSE)</f>
        <v>0</v>
      </c>
      <c r="AC363" s="33">
        <f>VLOOKUP(ужин4,таб,5,FALSE)</f>
        <v>0</v>
      </c>
      <c r="AD363" s="33">
        <f>VLOOKUP(ужин5,таб,5,FALSE)</f>
        <v>0</v>
      </c>
      <c r="AE363" s="33">
        <f>VLOOKUP(ужин6,таб,5,FALSE)</f>
        <v>0</v>
      </c>
      <c r="AF363" s="33">
        <f>VLOOKUP(ужин7,таб,5,FALSE)</f>
        <v>0</v>
      </c>
      <c r="AG363" s="87">
        <f>VLOOKUP(ужин8,таб,5,FALSE)</f>
        <v>0</v>
      </c>
      <c r="AH363" s="253"/>
      <c r="AI363" s="139">
        <f>AK363/сред</f>
        <v>0</v>
      </c>
      <c r="AJ363" s="140"/>
      <c r="AK363" s="143">
        <f>SUM(G364:AG364)</f>
        <v>0</v>
      </c>
      <c r="AL363" s="143"/>
      <c r="AM363" s="131">
        <f>IF(AK363=0,0,Таблиця!BT455)</f>
        <v>0</v>
      </c>
      <c r="AN363" s="129">
        <f>AK363*AM363</f>
        <v>0</v>
      </c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</row>
    <row r="364" spans="1:66" ht="30.75" customHeight="1" hidden="1">
      <c r="A364" s="136"/>
      <c r="B364" s="137"/>
      <c r="C364" s="137"/>
      <c r="D364" s="137"/>
      <c r="E364" s="138"/>
      <c r="F364" s="107" t="s">
        <v>96</v>
      </c>
      <c r="G364" s="75">
        <f aca="true" t="shared" si="324" ref="G364:AG364">IF(G363=0,"",завтракл*G363/1000)</f>
      </c>
      <c r="H364" s="23">
        <f t="shared" si="324"/>
      </c>
      <c r="I364" s="23"/>
      <c r="J364" s="23">
        <f t="shared" si="324"/>
      </c>
      <c r="K364" s="23">
        <f t="shared" si="324"/>
      </c>
      <c r="L364" s="122">
        <f t="shared" si="324"/>
      </c>
      <c r="M364" s="75">
        <f t="shared" si="324"/>
      </c>
      <c r="N364" s="83">
        <f t="shared" si="324"/>
      </c>
      <c r="O364" s="75">
        <f t="shared" si="324"/>
      </c>
      <c r="P364" s="23">
        <f t="shared" si="324"/>
      </c>
      <c r="Q364" s="23">
        <f t="shared" si="324"/>
      </c>
      <c r="R364" s="23">
        <f t="shared" si="324"/>
      </c>
      <c r="S364" s="23">
        <f t="shared" si="324"/>
      </c>
      <c r="T364" s="23">
        <f t="shared" si="324"/>
      </c>
      <c r="U364" s="23">
        <f t="shared" si="324"/>
      </c>
      <c r="V364" s="83">
        <f t="shared" si="324"/>
      </c>
      <c r="W364" s="25">
        <f t="shared" si="324"/>
      </c>
      <c r="X364" s="23"/>
      <c r="Y364" s="83">
        <f t="shared" si="324"/>
      </c>
      <c r="Z364" s="25">
        <f t="shared" si="324"/>
      </c>
      <c r="AA364" s="23">
        <f t="shared" si="324"/>
      </c>
      <c r="AB364" s="23">
        <f t="shared" si="324"/>
      </c>
      <c r="AC364" s="23">
        <f t="shared" si="324"/>
      </c>
      <c r="AD364" s="23">
        <f t="shared" si="324"/>
      </c>
      <c r="AE364" s="23">
        <f t="shared" si="324"/>
      </c>
      <c r="AF364" s="23">
        <f t="shared" si="324"/>
      </c>
      <c r="AG364" s="83">
        <f t="shared" si="324"/>
      </c>
      <c r="AH364" s="254"/>
      <c r="AI364" s="139"/>
      <c r="AJ364" s="140"/>
      <c r="AK364" s="143"/>
      <c r="AL364" s="143"/>
      <c r="AM364" s="132"/>
      <c r="AN364" s="130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</row>
    <row r="365" spans="1:66" ht="30.75" customHeight="1" hidden="1">
      <c r="A365" s="133"/>
      <c r="B365" s="134"/>
      <c r="C365" s="134"/>
      <c r="D365" s="134"/>
      <c r="E365" s="135"/>
      <c r="F365" s="106" t="s">
        <v>95</v>
      </c>
      <c r="G365" s="71">
        <f>VLOOKUP(завтрак1,таб,5,FALSE)</f>
        <v>0</v>
      </c>
      <c r="H365" s="26">
        <f>VLOOKUP(завтрак2,таб,5,FALSE)</f>
        <v>0</v>
      </c>
      <c r="I365" s="26"/>
      <c r="J365" s="26">
        <f>VLOOKUP(завтрак4,таб,5,FALSE)</f>
        <v>0</v>
      </c>
      <c r="K365" s="26">
        <f>VLOOKUP(завтрак5,таб,5,FALSE)</f>
        <v>0</v>
      </c>
      <c r="L365" s="116">
        <f>VLOOKUP(завтрак6,таб,5,FALSE)</f>
        <v>0</v>
      </c>
      <c r="M365" s="71">
        <f>VLOOKUP(завтрак7,таб,5,FALSE)</f>
        <v>0</v>
      </c>
      <c r="N365" s="81">
        <f>VLOOKUP(завтрак8,таб,5,FALSE)</f>
        <v>0</v>
      </c>
      <c r="O365" s="34">
        <f>VLOOKUP(обед1,таб,5,FALSE)</f>
        <v>0</v>
      </c>
      <c r="P365" s="33">
        <f>VLOOKUP(обед2,таб,5,FALSE)</f>
        <v>0</v>
      </c>
      <c r="Q365" s="33">
        <f>VLOOKUP(обед3,таб,5,FALSE)</f>
        <v>0</v>
      </c>
      <c r="R365" s="33">
        <f>VLOOKUP(обед4,таб,5,FALSE)</f>
        <v>0</v>
      </c>
      <c r="S365" s="33">
        <f>VLOOKUP(обед5,таб,5,FALSE)</f>
        <v>0</v>
      </c>
      <c r="T365" s="33">
        <f>VLOOKUP(обед6,таб,5,FALSE)</f>
        <v>0</v>
      </c>
      <c r="U365" s="33">
        <f>VLOOKUP(обед7,таб,5,FALSE)</f>
        <v>0</v>
      </c>
      <c r="V365" s="87">
        <f>VLOOKUP(обед8,таб,5,FALSE)</f>
        <v>0</v>
      </c>
      <c r="W365" s="34">
        <f>VLOOKUP(полдник1,таб,5,FALSE)</f>
        <v>0</v>
      </c>
      <c r="X365" s="33"/>
      <c r="Y365" s="87">
        <f>VLOOKUP(полдник3,таб,5,FALSE)</f>
        <v>0</v>
      </c>
      <c r="Z365" s="34">
        <f>VLOOKUP(ужин1,таб,5,FALSE)</f>
        <v>0</v>
      </c>
      <c r="AA365" s="33">
        <f>VLOOKUP(ужин2,таб,5,FALSE)</f>
        <v>0</v>
      </c>
      <c r="AB365" s="33">
        <f>VLOOKUP(ужин3,таб,5,FALSE)</f>
        <v>0</v>
      </c>
      <c r="AC365" s="33">
        <f>VLOOKUP(ужин4,таб,5,FALSE)</f>
        <v>0</v>
      </c>
      <c r="AD365" s="33">
        <f>VLOOKUP(ужин5,таб,5,FALSE)</f>
        <v>0</v>
      </c>
      <c r="AE365" s="33">
        <f>VLOOKUP(ужин6,таб,5,FALSE)</f>
        <v>0</v>
      </c>
      <c r="AF365" s="33">
        <f>VLOOKUP(ужин7,таб,5,FALSE)</f>
        <v>0</v>
      </c>
      <c r="AG365" s="87">
        <f>VLOOKUP(ужин8,таб,5,FALSE)</f>
        <v>0</v>
      </c>
      <c r="AH365" s="253"/>
      <c r="AI365" s="139">
        <f>AK365/сред</f>
        <v>0</v>
      </c>
      <c r="AJ365" s="140"/>
      <c r="AK365" s="143">
        <f>SUM(G366:AG366)</f>
        <v>0</v>
      </c>
      <c r="AL365" s="143"/>
      <c r="AM365" s="131">
        <f>IF(AK365=0,0,Таблиця!BT457)</f>
        <v>0</v>
      </c>
      <c r="AN365" s="129">
        <f>AK365*AM365</f>
        <v>0</v>
      </c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</row>
    <row r="366" spans="1:66" ht="30.75" customHeight="1" hidden="1">
      <c r="A366" s="136"/>
      <c r="B366" s="137"/>
      <c r="C366" s="137"/>
      <c r="D366" s="137"/>
      <c r="E366" s="138"/>
      <c r="F366" s="107" t="s">
        <v>96</v>
      </c>
      <c r="G366" s="75">
        <f aca="true" t="shared" si="325" ref="G366:AG366">IF(G365=0,"",завтракл*G365/1000)</f>
      </c>
      <c r="H366" s="23">
        <f t="shared" si="325"/>
      </c>
      <c r="I366" s="23"/>
      <c r="J366" s="23">
        <f t="shared" si="325"/>
      </c>
      <c r="K366" s="23">
        <f t="shared" si="325"/>
      </c>
      <c r="L366" s="122">
        <f t="shared" si="325"/>
      </c>
      <c r="M366" s="75">
        <f t="shared" si="325"/>
      </c>
      <c r="N366" s="83">
        <f t="shared" si="325"/>
      </c>
      <c r="O366" s="75">
        <f t="shared" si="325"/>
      </c>
      <c r="P366" s="23">
        <f t="shared" si="325"/>
      </c>
      <c r="Q366" s="23">
        <f t="shared" si="325"/>
      </c>
      <c r="R366" s="23">
        <f t="shared" si="325"/>
      </c>
      <c r="S366" s="23">
        <f t="shared" si="325"/>
      </c>
      <c r="T366" s="23">
        <f t="shared" si="325"/>
      </c>
      <c r="U366" s="23">
        <f t="shared" si="325"/>
      </c>
      <c r="V366" s="83">
        <f t="shared" si="325"/>
      </c>
      <c r="W366" s="25">
        <f t="shared" si="325"/>
      </c>
      <c r="X366" s="23"/>
      <c r="Y366" s="83">
        <f t="shared" si="325"/>
      </c>
      <c r="Z366" s="25">
        <f t="shared" si="325"/>
      </c>
      <c r="AA366" s="23">
        <f t="shared" si="325"/>
      </c>
      <c r="AB366" s="23">
        <f t="shared" si="325"/>
      </c>
      <c r="AC366" s="23">
        <f t="shared" si="325"/>
      </c>
      <c r="AD366" s="23">
        <f t="shared" si="325"/>
      </c>
      <c r="AE366" s="23">
        <f t="shared" si="325"/>
      </c>
      <c r="AF366" s="23">
        <f t="shared" si="325"/>
      </c>
      <c r="AG366" s="83">
        <f t="shared" si="325"/>
      </c>
      <c r="AH366" s="254"/>
      <c r="AI366" s="139"/>
      <c r="AJ366" s="140"/>
      <c r="AK366" s="143"/>
      <c r="AL366" s="143"/>
      <c r="AM366" s="132"/>
      <c r="AN366" s="130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</row>
    <row r="367" spans="1:66" ht="30.75" customHeight="1" hidden="1">
      <c r="A367" s="133"/>
      <c r="B367" s="134"/>
      <c r="C367" s="134"/>
      <c r="D367" s="134"/>
      <c r="E367" s="135"/>
      <c r="F367" s="106" t="s">
        <v>95</v>
      </c>
      <c r="G367" s="71">
        <f>VLOOKUP(завтрак1,таб,5,FALSE)</f>
        <v>0</v>
      </c>
      <c r="H367" s="26">
        <f>VLOOKUP(завтрак2,таб,5,FALSE)</f>
        <v>0</v>
      </c>
      <c r="I367" s="26"/>
      <c r="J367" s="26">
        <f>VLOOKUP(завтрак4,таб,5,FALSE)</f>
        <v>0</v>
      </c>
      <c r="K367" s="26">
        <f>VLOOKUP(завтрак5,таб,5,FALSE)</f>
        <v>0</v>
      </c>
      <c r="L367" s="116">
        <f>VLOOKUP(завтрак6,таб,5,FALSE)</f>
        <v>0</v>
      </c>
      <c r="M367" s="71">
        <f>VLOOKUP(завтрак7,таб,5,FALSE)</f>
        <v>0</v>
      </c>
      <c r="N367" s="81">
        <f>VLOOKUP(завтрак8,таб,5,FALSE)</f>
        <v>0</v>
      </c>
      <c r="O367" s="34">
        <f>VLOOKUP(обед1,таб,5,FALSE)</f>
        <v>0</v>
      </c>
      <c r="P367" s="33">
        <f>VLOOKUP(обед2,таб,5,FALSE)</f>
        <v>0</v>
      </c>
      <c r="Q367" s="33">
        <f>VLOOKUP(обед3,таб,5,FALSE)</f>
        <v>0</v>
      </c>
      <c r="R367" s="33">
        <f>VLOOKUP(обед4,таб,5,FALSE)</f>
        <v>0</v>
      </c>
      <c r="S367" s="33">
        <f>VLOOKUP(обед5,таб,5,FALSE)</f>
        <v>0</v>
      </c>
      <c r="T367" s="33">
        <f>VLOOKUP(обед6,таб,5,FALSE)</f>
        <v>0</v>
      </c>
      <c r="U367" s="33">
        <f>VLOOKUP(обед7,таб,5,FALSE)</f>
        <v>0</v>
      </c>
      <c r="V367" s="87">
        <f>VLOOKUP(обед8,таб,5,FALSE)</f>
        <v>0</v>
      </c>
      <c r="W367" s="34">
        <f>VLOOKUP(полдник1,таб,5,FALSE)</f>
        <v>0</v>
      </c>
      <c r="X367" s="33"/>
      <c r="Y367" s="87">
        <f>VLOOKUP(полдник3,таб,5,FALSE)</f>
        <v>0</v>
      </c>
      <c r="Z367" s="34">
        <f>VLOOKUP(ужин1,таб,5,FALSE)</f>
        <v>0</v>
      </c>
      <c r="AA367" s="33">
        <f>VLOOKUP(ужин2,таб,5,FALSE)</f>
        <v>0</v>
      </c>
      <c r="AB367" s="33">
        <f>VLOOKUP(ужин3,таб,5,FALSE)</f>
        <v>0</v>
      </c>
      <c r="AC367" s="33">
        <f>VLOOKUP(ужин4,таб,5,FALSE)</f>
        <v>0</v>
      </c>
      <c r="AD367" s="33">
        <f>VLOOKUP(ужин5,таб,5,FALSE)</f>
        <v>0</v>
      </c>
      <c r="AE367" s="33">
        <f>VLOOKUP(ужин6,таб,5,FALSE)</f>
        <v>0</v>
      </c>
      <c r="AF367" s="33">
        <f>VLOOKUP(ужин7,таб,5,FALSE)</f>
        <v>0</v>
      </c>
      <c r="AG367" s="87">
        <f>VLOOKUP(ужин8,таб,5,FALSE)</f>
        <v>0</v>
      </c>
      <c r="AH367" s="253"/>
      <c r="AI367" s="139">
        <f>AK367/сред</f>
        <v>0</v>
      </c>
      <c r="AJ367" s="140"/>
      <c r="AK367" s="143">
        <f>SUM(G368:AG368)</f>
        <v>0</v>
      </c>
      <c r="AL367" s="143"/>
      <c r="AM367" s="131">
        <f>IF(AK367=0,0,Таблиця!BT459)</f>
        <v>0</v>
      </c>
      <c r="AN367" s="129">
        <f>AK367*AM367</f>
        <v>0</v>
      </c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</row>
    <row r="368" spans="1:66" ht="30.75" customHeight="1" hidden="1">
      <c r="A368" s="136"/>
      <c r="B368" s="137"/>
      <c r="C368" s="137"/>
      <c r="D368" s="137"/>
      <c r="E368" s="138"/>
      <c r="F368" s="107" t="s">
        <v>96</v>
      </c>
      <c r="G368" s="75">
        <f aca="true" t="shared" si="326" ref="G368:AG368">IF(G367=0,"",завтракл*G367/1000)</f>
      </c>
      <c r="H368" s="23">
        <f t="shared" si="326"/>
      </c>
      <c r="I368" s="23"/>
      <c r="J368" s="23">
        <f t="shared" si="326"/>
      </c>
      <c r="K368" s="23">
        <f t="shared" si="326"/>
      </c>
      <c r="L368" s="122">
        <f t="shared" si="326"/>
      </c>
      <c r="M368" s="75">
        <f t="shared" si="326"/>
      </c>
      <c r="N368" s="83">
        <f t="shared" si="326"/>
      </c>
      <c r="O368" s="75">
        <f t="shared" si="326"/>
      </c>
      <c r="P368" s="23">
        <f t="shared" si="326"/>
      </c>
      <c r="Q368" s="23">
        <f t="shared" si="326"/>
      </c>
      <c r="R368" s="23">
        <f t="shared" si="326"/>
      </c>
      <c r="S368" s="23">
        <f t="shared" si="326"/>
      </c>
      <c r="T368" s="23">
        <f t="shared" si="326"/>
      </c>
      <c r="U368" s="23">
        <f t="shared" si="326"/>
      </c>
      <c r="V368" s="83">
        <f t="shared" si="326"/>
      </c>
      <c r="W368" s="25">
        <f t="shared" si="326"/>
      </c>
      <c r="X368" s="23"/>
      <c r="Y368" s="83">
        <f t="shared" si="326"/>
      </c>
      <c r="Z368" s="25">
        <f t="shared" si="326"/>
      </c>
      <c r="AA368" s="23">
        <f t="shared" si="326"/>
      </c>
      <c r="AB368" s="23">
        <f t="shared" si="326"/>
      </c>
      <c r="AC368" s="23">
        <f t="shared" si="326"/>
      </c>
      <c r="AD368" s="23">
        <f t="shared" si="326"/>
      </c>
      <c r="AE368" s="23">
        <f t="shared" si="326"/>
      </c>
      <c r="AF368" s="23">
        <f t="shared" si="326"/>
      </c>
      <c r="AG368" s="83">
        <f t="shared" si="326"/>
      </c>
      <c r="AH368" s="254"/>
      <c r="AI368" s="139"/>
      <c r="AJ368" s="140"/>
      <c r="AK368" s="143"/>
      <c r="AL368" s="143"/>
      <c r="AM368" s="132"/>
      <c r="AN368" s="130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</row>
    <row r="369" spans="1:66" ht="30.75" customHeight="1" hidden="1">
      <c r="A369" s="133"/>
      <c r="B369" s="134"/>
      <c r="C369" s="134"/>
      <c r="D369" s="134"/>
      <c r="E369" s="135"/>
      <c r="F369" s="106" t="s">
        <v>95</v>
      </c>
      <c r="G369" s="71">
        <f>VLOOKUP(завтрак1,таб,5,FALSE)</f>
        <v>0</v>
      </c>
      <c r="H369" s="26">
        <f>VLOOKUP(завтрак2,таб,5,FALSE)</f>
        <v>0</v>
      </c>
      <c r="I369" s="26"/>
      <c r="J369" s="26">
        <f>VLOOKUP(завтрак4,таб,5,FALSE)</f>
        <v>0</v>
      </c>
      <c r="K369" s="26">
        <f>VLOOKUP(завтрак5,таб,5,FALSE)</f>
        <v>0</v>
      </c>
      <c r="L369" s="116">
        <f>VLOOKUP(завтрак6,таб,5,FALSE)</f>
        <v>0</v>
      </c>
      <c r="M369" s="71">
        <f>VLOOKUP(завтрак7,таб,5,FALSE)</f>
        <v>0</v>
      </c>
      <c r="N369" s="81">
        <f>VLOOKUP(завтрак8,таб,5,FALSE)</f>
        <v>0</v>
      </c>
      <c r="O369" s="34">
        <f>VLOOKUP(обед1,таб,5,FALSE)</f>
        <v>0</v>
      </c>
      <c r="P369" s="33">
        <f>VLOOKUP(обед2,таб,5,FALSE)</f>
        <v>0</v>
      </c>
      <c r="Q369" s="33">
        <f>VLOOKUP(обед3,таб,5,FALSE)</f>
        <v>0</v>
      </c>
      <c r="R369" s="33">
        <f>VLOOKUP(обед4,таб,5,FALSE)</f>
        <v>0</v>
      </c>
      <c r="S369" s="33">
        <f>VLOOKUP(обед5,таб,5,FALSE)</f>
        <v>0</v>
      </c>
      <c r="T369" s="33">
        <f>VLOOKUP(обед6,таб,5,FALSE)</f>
        <v>0</v>
      </c>
      <c r="U369" s="33">
        <f>VLOOKUP(обед7,таб,5,FALSE)</f>
        <v>0</v>
      </c>
      <c r="V369" s="87">
        <f>VLOOKUP(обед8,таб,5,FALSE)</f>
        <v>0</v>
      </c>
      <c r="W369" s="34">
        <f>VLOOKUP(полдник1,таб,5,FALSE)</f>
        <v>0</v>
      </c>
      <c r="X369" s="33"/>
      <c r="Y369" s="87">
        <f>VLOOKUP(полдник3,таб,5,FALSE)</f>
        <v>0</v>
      </c>
      <c r="Z369" s="34">
        <f>VLOOKUP(ужин1,таб,5,FALSE)</f>
        <v>0</v>
      </c>
      <c r="AA369" s="33">
        <f>VLOOKUP(ужин2,таб,5,FALSE)</f>
        <v>0</v>
      </c>
      <c r="AB369" s="33">
        <f>VLOOKUP(ужин3,таб,5,FALSE)</f>
        <v>0</v>
      </c>
      <c r="AC369" s="33">
        <f>VLOOKUP(ужин4,таб,5,FALSE)</f>
        <v>0</v>
      </c>
      <c r="AD369" s="33">
        <f>VLOOKUP(ужин5,таб,5,FALSE)</f>
        <v>0</v>
      </c>
      <c r="AE369" s="33">
        <f>VLOOKUP(ужин6,таб,5,FALSE)</f>
        <v>0</v>
      </c>
      <c r="AF369" s="33">
        <f>VLOOKUP(ужин7,таб,5,FALSE)</f>
        <v>0</v>
      </c>
      <c r="AG369" s="87">
        <f>VLOOKUP(ужин8,таб,5,FALSE)</f>
        <v>0</v>
      </c>
      <c r="AH369" s="253"/>
      <c r="AI369" s="139">
        <f>AK369/сред</f>
        <v>0</v>
      </c>
      <c r="AJ369" s="140"/>
      <c r="AK369" s="143">
        <f>SUM(G370:AG370)</f>
        <v>0</v>
      </c>
      <c r="AL369" s="143"/>
      <c r="AM369" s="131">
        <f>IF(AK369=0,0,Таблиця!BT461)</f>
        <v>0</v>
      </c>
      <c r="AN369" s="129">
        <f>AK369*AM369</f>
        <v>0</v>
      </c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</row>
    <row r="370" spans="1:66" ht="30.75" customHeight="1" hidden="1">
      <c r="A370" s="136"/>
      <c r="B370" s="137"/>
      <c r="C370" s="137"/>
      <c r="D370" s="137"/>
      <c r="E370" s="138"/>
      <c r="F370" s="107" t="s">
        <v>96</v>
      </c>
      <c r="G370" s="75">
        <f aca="true" t="shared" si="327" ref="G370:AG370">IF(G369=0,"",завтракл*G369/1000)</f>
      </c>
      <c r="H370" s="23">
        <f t="shared" si="327"/>
      </c>
      <c r="I370" s="23"/>
      <c r="J370" s="23">
        <f t="shared" si="327"/>
      </c>
      <c r="K370" s="23">
        <f t="shared" si="327"/>
      </c>
      <c r="L370" s="122">
        <f t="shared" si="327"/>
      </c>
      <c r="M370" s="75">
        <f t="shared" si="327"/>
      </c>
      <c r="N370" s="83">
        <f t="shared" si="327"/>
      </c>
      <c r="O370" s="75">
        <f t="shared" si="327"/>
      </c>
      <c r="P370" s="23">
        <f t="shared" si="327"/>
      </c>
      <c r="Q370" s="23">
        <f t="shared" si="327"/>
      </c>
      <c r="R370" s="23">
        <f t="shared" si="327"/>
      </c>
      <c r="S370" s="23">
        <f t="shared" si="327"/>
      </c>
      <c r="T370" s="23">
        <f t="shared" si="327"/>
      </c>
      <c r="U370" s="23">
        <f t="shared" si="327"/>
      </c>
      <c r="V370" s="83">
        <f t="shared" si="327"/>
      </c>
      <c r="W370" s="25">
        <f t="shared" si="327"/>
      </c>
      <c r="X370" s="23"/>
      <c r="Y370" s="83">
        <f t="shared" si="327"/>
      </c>
      <c r="Z370" s="25">
        <f t="shared" si="327"/>
      </c>
      <c r="AA370" s="23">
        <f t="shared" si="327"/>
      </c>
      <c r="AB370" s="23">
        <f t="shared" si="327"/>
      </c>
      <c r="AC370" s="23">
        <f t="shared" si="327"/>
      </c>
      <c r="AD370" s="23">
        <f t="shared" si="327"/>
      </c>
      <c r="AE370" s="23">
        <f t="shared" si="327"/>
      </c>
      <c r="AF370" s="23">
        <f t="shared" si="327"/>
      </c>
      <c r="AG370" s="83">
        <f t="shared" si="327"/>
      </c>
      <c r="AH370" s="254"/>
      <c r="AI370" s="139"/>
      <c r="AJ370" s="140"/>
      <c r="AK370" s="143"/>
      <c r="AL370" s="143"/>
      <c r="AM370" s="132"/>
      <c r="AN370" s="130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</row>
    <row r="371" spans="1:66" ht="30.75" customHeight="1" hidden="1">
      <c r="A371" s="133"/>
      <c r="B371" s="134"/>
      <c r="C371" s="134"/>
      <c r="D371" s="134"/>
      <c r="E371" s="135"/>
      <c r="F371" s="106" t="s">
        <v>95</v>
      </c>
      <c r="G371" s="71">
        <f>VLOOKUP(завтрак1,таб,5,FALSE)</f>
        <v>0</v>
      </c>
      <c r="H371" s="26">
        <f>VLOOKUP(завтрак2,таб,5,FALSE)</f>
        <v>0</v>
      </c>
      <c r="I371" s="26"/>
      <c r="J371" s="26">
        <f>VLOOKUP(завтрак4,таб,5,FALSE)</f>
        <v>0</v>
      </c>
      <c r="K371" s="26">
        <f>VLOOKUP(завтрак5,таб,5,FALSE)</f>
        <v>0</v>
      </c>
      <c r="L371" s="116">
        <f>VLOOKUP(завтрак6,таб,5,FALSE)</f>
        <v>0</v>
      </c>
      <c r="M371" s="71">
        <f>VLOOKUP(завтрак7,таб,5,FALSE)</f>
        <v>0</v>
      </c>
      <c r="N371" s="81">
        <f>VLOOKUP(завтрак8,таб,5,FALSE)</f>
        <v>0</v>
      </c>
      <c r="O371" s="34">
        <f>VLOOKUP(обед1,таб,5,FALSE)</f>
        <v>0</v>
      </c>
      <c r="P371" s="33">
        <f>VLOOKUP(обед2,таб,5,FALSE)</f>
        <v>0</v>
      </c>
      <c r="Q371" s="33">
        <f>VLOOKUP(обед3,таб,5,FALSE)</f>
        <v>0</v>
      </c>
      <c r="R371" s="33">
        <f>VLOOKUP(обед4,таб,5,FALSE)</f>
        <v>0</v>
      </c>
      <c r="S371" s="33">
        <f>VLOOKUP(обед5,таб,5,FALSE)</f>
        <v>0</v>
      </c>
      <c r="T371" s="33">
        <f>VLOOKUP(обед6,таб,5,FALSE)</f>
        <v>0</v>
      </c>
      <c r="U371" s="33">
        <f>VLOOKUP(обед7,таб,5,FALSE)</f>
        <v>0</v>
      </c>
      <c r="V371" s="87">
        <f>VLOOKUP(обед8,таб,5,FALSE)</f>
        <v>0</v>
      </c>
      <c r="W371" s="34">
        <f>VLOOKUP(полдник1,таб,5,FALSE)</f>
        <v>0</v>
      </c>
      <c r="X371" s="33"/>
      <c r="Y371" s="87">
        <f>VLOOKUP(полдник3,таб,5,FALSE)</f>
        <v>0</v>
      </c>
      <c r="Z371" s="34">
        <f>VLOOKUP(ужин1,таб,5,FALSE)</f>
        <v>0</v>
      </c>
      <c r="AA371" s="33">
        <f>VLOOKUP(ужин2,таб,5,FALSE)</f>
        <v>0</v>
      </c>
      <c r="AB371" s="33">
        <f>VLOOKUP(ужин3,таб,5,FALSE)</f>
        <v>0</v>
      </c>
      <c r="AC371" s="33">
        <f>VLOOKUP(ужин4,таб,5,FALSE)</f>
        <v>0</v>
      </c>
      <c r="AD371" s="33">
        <f>VLOOKUP(ужин5,таб,5,FALSE)</f>
        <v>0</v>
      </c>
      <c r="AE371" s="33">
        <f>VLOOKUP(ужин6,таб,5,FALSE)</f>
        <v>0</v>
      </c>
      <c r="AF371" s="33">
        <f>VLOOKUP(ужин7,таб,5,FALSE)</f>
        <v>0</v>
      </c>
      <c r="AG371" s="87">
        <f>VLOOKUP(ужин8,таб,5,FALSE)</f>
        <v>0</v>
      </c>
      <c r="AH371" s="253"/>
      <c r="AI371" s="139">
        <f>AK371/сред</f>
        <v>0</v>
      </c>
      <c r="AJ371" s="140"/>
      <c r="AK371" s="143">
        <f>SUM(G372:AG372)</f>
        <v>0</v>
      </c>
      <c r="AL371" s="143"/>
      <c r="AM371" s="131">
        <f>IF(AK371=0,0,Таблиця!BT463)</f>
        <v>0</v>
      </c>
      <c r="AN371" s="129">
        <f>AK371*AM371</f>
        <v>0</v>
      </c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</row>
    <row r="372" spans="1:66" ht="30.75" customHeight="1" hidden="1">
      <c r="A372" s="136"/>
      <c r="B372" s="137"/>
      <c r="C372" s="137"/>
      <c r="D372" s="137"/>
      <c r="E372" s="138"/>
      <c r="F372" s="107" t="s">
        <v>96</v>
      </c>
      <c r="G372" s="75">
        <f aca="true" t="shared" si="328" ref="G372:AG372">IF(G371=0,"",завтракл*G371/1000)</f>
      </c>
      <c r="H372" s="23">
        <f t="shared" si="328"/>
      </c>
      <c r="I372" s="23"/>
      <c r="J372" s="23">
        <f t="shared" si="328"/>
      </c>
      <c r="K372" s="23">
        <f t="shared" si="328"/>
      </c>
      <c r="L372" s="122">
        <f t="shared" si="328"/>
      </c>
      <c r="M372" s="75">
        <f t="shared" si="328"/>
      </c>
      <c r="N372" s="83">
        <f t="shared" si="328"/>
      </c>
      <c r="O372" s="75">
        <f t="shared" si="328"/>
      </c>
      <c r="P372" s="23">
        <f t="shared" si="328"/>
      </c>
      <c r="Q372" s="23">
        <f t="shared" si="328"/>
      </c>
      <c r="R372" s="23">
        <f t="shared" si="328"/>
      </c>
      <c r="S372" s="23">
        <f t="shared" si="328"/>
      </c>
      <c r="T372" s="23">
        <f t="shared" si="328"/>
      </c>
      <c r="U372" s="23">
        <f t="shared" si="328"/>
      </c>
      <c r="V372" s="83">
        <f t="shared" si="328"/>
      </c>
      <c r="W372" s="25">
        <f t="shared" si="328"/>
      </c>
      <c r="X372" s="23"/>
      <c r="Y372" s="83">
        <f t="shared" si="328"/>
      </c>
      <c r="Z372" s="25">
        <f t="shared" si="328"/>
      </c>
      <c r="AA372" s="23">
        <f t="shared" si="328"/>
      </c>
      <c r="AB372" s="23">
        <f t="shared" si="328"/>
      </c>
      <c r="AC372" s="23">
        <f t="shared" si="328"/>
      </c>
      <c r="AD372" s="23">
        <f t="shared" si="328"/>
      </c>
      <c r="AE372" s="23">
        <f t="shared" si="328"/>
      </c>
      <c r="AF372" s="23">
        <f t="shared" si="328"/>
      </c>
      <c r="AG372" s="83">
        <f t="shared" si="328"/>
      </c>
      <c r="AH372" s="254"/>
      <c r="AI372" s="139"/>
      <c r="AJ372" s="140"/>
      <c r="AK372" s="143"/>
      <c r="AL372" s="143"/>
      <c r="AM372" s="132"/>
      <c r="AN372" s="130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</row>
    <row r="373" spans="1:66" ht="30.75" customHeight="1" hidden="1">
      <c r="A373" s="133"/>
      <c r="B373" s="134"/>
      <c r="C373" s="134"/>
      <c r="D373" s="134"/>
      <c r="E373" s="135"/>
      <c r="F373" s="106" t="s">
        <v>95</v>
      </c>
      <c r="G373" s="71">
        <f>VLOOKUP(завтрак1,таб,5,FALSE)</f>
        <v>0</v>
      </c>
      <c r="H373" s="26">
        <f>VLOOKUP(завтрак2,таб,5,FALSE)</f>
        <v>0</v>
      </c>
      <c r="I373" s="26"/>
      <c r="J373" s="26">
        <f>VLOOKUP(завтрак4,таб,5,FALSE)</f>
        <v>0</v>
      </c>
      <c r="K373" s="26">
        <f>VLOOKUP(завтрак5,таб,5,FALSE)</f>
        <v>0</v>
      </c>
      <c r="L373" s="116">
        <f>VLOOKUP(завтрак6,таб,5,FALSE)</f>
        <v>0</v>
      </c>
      <c r="M373" s="71">
        <f>VLOOKUP(завтрак7,таб,5,FALSE)</f>
        <v>0</v>
      </c>
      <c r="N373" s="81">
        <f>VLOOKUP(завтрак8,таб,5,FALSE)</f>
        <v>0</v>
      </c>
      <c r="O373" s="34">
        <f>VLOOKUP(обед1,таб,5,FALSE)</f>
        <v>0</v>
      </c>
      <c r="P373" s="33">
        <f>VLOOKUP(обед2,таб,5,FALSE)</f>
        <v>0</v>
      </c>
      <c r="Q373" s="33">
        <f>VLOOKUP(обед3,таб,5,FALSE)</f>
        <v>0</v>
      </c>
      <c r="R373" s="33">
        <f>VLOOKUP(обед4,таб,5,FALSE)</f>
        <v>0</v>
      </c>
      <c r="S373" s="33">
        <f>VLOOKUP(обед5,таб,5,FALSE)</f>
        <v>0</v>
      </c>
      <c r="T373" s="33">
        <f>VLOOKUP(обед6,таб,5,FALSE)</f>
        <v>0</v>
      </c>
      <c r="U373" s="33">
        <f>VLOOKUP(обед7,таб,5,FALSE)</f>
        <v>0</v>
      </c>
      <c r="V373" s="87">
        <f>VLOOKUP(обед8,таб,5,FALSE)</f>
        <v>0</v>
      </c>
      <c r="W373" s="34">
        <f>VLOOKUP(полдник1,таб,5,FALSE)</f>
        <v>0</v>
      </c>
      <c r="X373" s="33"/>
      <c r="Y373" s="87">
        <f>VLOOKUP(полдник3,таб,5,FALSE)</f>
        <v>0</v>
      </c>
      <c r="Z373" s="34">
        <f>VLOOKUP(ужин1,таб,5,FALSE)</f>
        <v>0</v>
      </c>
      <c r="AA373" s="33">
        <f>VLOOKUP(ужин2,таб,5,FALSE)</f>
        <v>0</v>
      </c>
      <c r="AB373" s="33">
        <f>VLOOKUP(ужин3,таб,5,FALSE)</f>
        <v>0</v>
      </c>
      <c r="AC373" s="33">
        <f>VLOOKUP(ужин4,таб,5,FALSE)</f>
        <v>0</v>
      </c>
      <c r="AD373" s="33">
        <f>VLOOKUP(ужин5,таб,5,FALSE)</f>
        <v>0</v>
      </c>
      <c r="AE373" s="33">
        <f>VLOOKUP(ужин6,таб,5,FALSE)</f>
        <v>0</v>
      </c>
      <c r="AF373" s="33">
        <f>VLOOKUP(ужин7,таб,5,FALSE)</f>
        <v>0</v>
      </c>
      <c r="AG373" s="87">
        <f>VLOOKUP(ужин8,таб,5,FALSE)</f>
        <v>0</v>
      </c>
      <c r="AH373" s="253"/>
      <c r="AI373" s="139">
        <f>AK373/сред</f>
        <v>0</v>
      </c>
      <c r="AJ373" s="140"/>
      <c r="AK373" s="143">
        <f>SUM(G374:AG374)</f>
        <v>0</v>
      </c>
      <c r="AL373" s="143"/>
      <c r="AM373" s="131">
        <f>IF(AK373=0,0,Таблиця!BT465)</f>
        <v>0</v>
      </c>
      <c r="AN373" s="129">
        <f>AK373*AM373</f>
        <v>0</v>
      </c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</row>
    <row r="374" spans="1:66" ht="30.75" customHeight="1" hidden="1">
      <c r="A374" s="136"/>
      <c r="B374" s="137"/>
      <c r="C374" s="137"/>
      <c r="D374" s="137"/>
      <c r="E374" s="138"/>
      <c r="F374" s="107" t="s">
        <v>96</v>
      </c>
      <c r="G374" s="75">
        <f aca="true" t="shared" si="329" ref="G374:AG374">IF(G373=0,"",завтракл*G373/1000)</f>
      </c>
      <c r="H374" s="23">
        <f t="shared" si="329"/>
      </c>
      <c r="I374" s="23"/>
      <c r="J374" s="23">
        <f t="shared" si="329"/>
      </c>
      <c r="K374" s="23">
        <f t="shared" si="329"/>
      </c>
      <c r="L374" s="122">
        <f t="shared" si="329"/>
      </c>
      <c r="M374" s="75">
        <f t="shared" si="329"/>
      </c>
      <c r="N374" s="83">
        <f t="shared" si="329"/>
      </c>
      <c r="O374" s="75">
        <f t="shared" si="329"/>
      </c>
      <c r="P374" s="23">
        <f t="shared" si="329"/>
      </c>
      <c r="Q374" s="23">
        <f t="shared" si="329"/>
      </c>
      <c r="R374" s="23">
        <f t="shared" si="329"/>
      </c>
      <c r="S374" s="23">
        <f t="shared" si="329"/>
      </c>
      <c r="T374" s="23">
        <f t="shared" si="329"/>
      </c>
      <c r="U374" s="23">
        <f t="shared" si="329"/>
      </c>
      <c r="V374" s="83">
        <f t="shared" si="329"/>
      </c>
      <c r="W374" s="25">
        <f t="shared" si="329"/>
      </c>
      <c r="X374" s="23"/>
      <c r="Y374" s="83">
        <f t="shared" si="329"/>
      </c>
      <c r="Z374" s="25">
        <f t="shared" si="329"/>
      </c>
      <c r="AA374" s="23">
        <f t="shared" si="329"/>
      </c>
      <c r="AB374" s="23">
        <f t="shared" si="329"/>
      </c>
      <c r="AC374" s="23">
        <f t="shared" si="329"/>
      </c>
      <c r="AD374" s="23">
        <f t="shared" si="329"/>
      </c>
      <c r="AE374" s="23">
        <f t="shared" si="329"/>
      </c>
      <c r="AF374" s="23">
        <f t="shared" si="329"/>
      </c>
      <c r="AG374" s="83">
        <f t="shared" si="329"/>
      </c>
      <c r="AH374" s="254"/>
      <c r="AI374" s="139"/>
      <c r="AJ374" s="140"/>
      <c r="AK374" s="143"/>
      <c r="AL374" s="143"/>
      <c r="AM374" s="132"/>
      <c r="AN374" s="130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</row>
    <row r="375" spans="1:66" ht="30.75" customHeight="1" hidden="1">
      <c r="A375" s="133"/>
      <c r="B375" s="134"/>
      <c r="C375" s="134"/>
      <c r="D375" s="134"/>
      <c r="E375" s="135"/>
      <c r="F375" s="106" t="s">
        <v>95</v>
      </c>
      <c r="G375" s="71">
        <f>VLOOKUP(завтрак1,таб,5,FALSE)</f>
        <v>0</v>
      </c>
      <c r="H375" s="26">
        <f>VLOOKUP(завтрак2,таб,5,FALSE)</f>
        <v>0</v>
      </c>
      <c r="I375" s="26"/>
      <c r="J375" s="26">
        <f>VLOOKUP(завтрак4,таб,5,FALSE)</f>
        <v>0</v>
      </c>
      <c r="K375" s="26">
        <f>VLOOKUP(завтрак5,таб,5,FALSE)</f>
        <v>0</v>
      </c>
      <c r="L375" s="116">
        <f>VLOOKUP(завтрак6,таб,5,FALSE)</f>
        <v>0</v>
      </c>
      <c r="M375" s="71">
        <f>VLOOKUP(завтрак7,таб,5,FALSE)</f>
        <v>0</v>
      </c>
      <c r="N375" s="81">
        <f>VLOOKUP(завтрак8,таб,5,FALSE)</f>
        <v>0</v>
      </c>
      <c r="O375" s="34">
        <f>VLOOKUP(обед1,таб,5,FALSE)</f>
        <v>0</v>
      </c>
      <c r="P375" s="33">
        <f>VLOOKUP(обед2,таб,5,FALSE)</f>
        <v>0</v>
      </c>
      <c r="Q375" s="33">
        <f>VLOOKUP(обед3,таб,5,FALSE)</f>
        <v>0</v>
      </c>
      <c r="R375" s="33">
        <f>VLOOKUP(обед4,таб,5,FALSE)</f>
        <v>0</v>
      </c>
      <c r="S375" s="33">
        <f>VLOOKUP(обед5,таб,5,FALSE)</f>
        <v>0</v>
      </c>
      <c r="T375" s="33">
        <f>VLOOKUP(обед6,таб,5,FALSE)</f>
        <v>0</v>
      </c>
      <c r="U375" s="33">
        <f>VLOOKUP(обед7,таб,5,FALSE)</f>
        <v>0</v>
      </c>
      <c r="V375" s="87">
        <f>VLOOKUP(обед8,таб,5,FALSE)</f>
        <v>0</v>
      </c>
      <c r="W375" s="34">
        <f>VLOOKUP(полдник1,таб,5,FALSE)</f>
        <v>0</v>
      </c>
      <c r="X375" s="33"/>
      <c r="Y375" s="87">
        <f>VLOOKUP(полдник3,таб,5,FALSE)</f>
        <v>0</v>
      </c>
      <c r="Z375" s="34">
        <f>VLOOKUP(ужин1,таб,5,FALSE)</f>
        <v>0</v>
      </c>
      <c r="AA375" s="33">
        <f>VLOOKUP(ужин2,таб,5,FALSE)</f>
        <v>0</v>
      </c>
      <c r="AB375" s="33">
        <f>VLOOKUP(ужин3,таб,5,FALSE)</f>
        <v>0</v>
      </c>
      <c r="AC375" s="33">
        <f>VLOOKUP(ужин4,таб,5,FALSE)</f>
        <v>0</v>
      </c>
      <c r="AD375" s="33">
        <f>VLOOKUP(ужин5,таб,5,FALSE)</f>
        <v>0</v>
      </c>
      <c r="AE375" s="33">
        <f>VLOOKUP(ужин6,таб,5,FALSE)</f>
        <v>0</v>
      </c>
      <c r="AF375" s="33">
        <f>VLOOKUP(ужин7,таб,5,FALSE)</f>
        <v>0</v>
      </c>
      <c r="AG375" s="87">
        <f>VLOOKUP(ужин8,таб,5,FALSE)</f>
        <v>0</v>
      </c>
      <c r="AH375" s="253"/>
      <c r="AI375" s="139">
        <f>AK375/сред</f>
        <v>0</v>
      </c>
      <c r="AJ375" s="140"/>
      <c r="AK375" s="143">
        <f>SUM(G376:AG376)</f>
        <v>0</v>
      </c>
      <c r="AL375" s="143"/>
      <c r="AM375" s="131">
        <f>IF(AK375=0,0,Таблиця!BT467)</f>
        <v>0</v>
      </c>
      <c r="AN375" s="129">
        <f>AK375*AM375</f>
        <v>0</v>
      </c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</row>
    <row r="376" spans="1:66" ht="30.75" customHeight="1" hidden="1">
      <c r="A376" s="136"/>
      <c r="B376" s="137"/>
      <c r="C376" s="137"/>
      <c r="D376" s="137"/>
      <c r="E376" s="138"/>
      <c r="F376" s="107" t="s">
        <v>96</v>
      </c>
      <c r="G376" s="75">
        <f aca="true" t="shared" si="330" ref="G376:AG376">IF(G375=0,"",завтракл*G375/1000)</f>
      </c>
      <c r="H376" s="23">
        <f t="shared" si="330"/>
      </c>
      <c r="I376" s="23"/>
      <c r="J376" s="23">
        <f t="shared" si="330"/>
      </c>
      <c r="K376" s="23">
        <f t="shared" si="330"/>
      </c>
      <c r="L376" s="122">
        <f t="shared" si="330"/>
      </c>
      <c r="M376" s="75">
        <f t="shared" si="330"/>
      </c>
      <c r="N376" s="83">
        <f t="shared" si="330"/>
      </c>
      <c r="O376" s="75">
        <f t="shared" si="330"/>
      </c>
      <c r="P376" s="23">
        <f t="shared" si="330"/>
      </c>
      <c r="Q376" s="23">
        <f t="shared" si="330"/>
      </c>
      <c r="R376" s="23">
        <f t="shared" si="330"/>
      </c>
      <c r="S376" s="23">
        <f t="shared" si="330"/>
      </c>
      <c r="T376" s="23">
        <f t="shared" si="330"/>
      </c>
      <c r="U376" s="23">
        <f t="shared" si="330"/>
      </c>
      <c r="V376" s="83">
        <f t="shared" si="330"/>
      </c>
      <c r="W376" s="25">
        <f t="shared" si="330"/>
      </c>
      <c r="X376" s="23"/>
      <c r="Y376" s="83">
        <f t="shared" si="330"/>
      </c>
      <c r="Z376" s="25">
        <f t="shared" si="330"/>
      </c>
      <c r="AA376" s="23">
        <f t="shared" si="330"/>
      </c>
      <c r="AB376" s="23">
        <f t="shared" si="330"/>
      </c>
      <c r="AC376" s="23">
        <f t="shared" si="330"/>
      </c>
      <c r="AD376" s="23">
        <f t="shared" si="330"/>
      </c>
      <c r="AE376" s="23">
        <f t="shared" si="330"/>
      </c>
      <c r="AF376" s="23">
        <f t="shared" si="330"/>
      </c>
      <c r="AG376" s="83">
        <f t="shared" si="330"/>
      </c>
      <c r="AH376" s="254"/>
      <c r="AI376" s="139"/>
      <c r="AJ376" s="140"/>
      <c r="AK376" s="143"/>
      <c r="AL376" s="143"/>
      <c r="AM376" s="132"/>
      <c r="AN376" s="130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</row>
    <row r="377" spans="1:66" ht="30.75" customHeight="1" hidden="1">
      <c r="A377" s="133"/>
      <c r="B377" s="134"/>
      <c r="C377" s="134"/>
      <c r="D377" s="134"/>
      <c r="E377" s="135"/>
      <c r="F377" s="106" t="s">
        <v>95</v>
      </c>
      <c r="G377" s="71">
        <f>VLOOKUP(завтрак1,таб,5,FALSE)</f>
        <v>0</v>
      </c>
      <c r="H377" s="26">
        <f>VLOOKUP(завтрак2,таб,5,FALSE)</f>
        <v>0</v>
      </c>
      <c r="I377" s="26"/>
      <c r="J377" s="26">
        <f>VLOOKUP(завтрак4,таб,5,FALSE)</f>
        <v>0</v>
      </c>
      <c r="K377" s="26">
        <f>VLOOKUP(завтрак5,таб,5,FALSE)</f>
        <v>0</v>
      </c>
      <c r="L377" s="116">
        <f>VLOOKUP(завтрак6,таб,5,FALSE)</f>
        <v>0</v>
      </c>
      <c r="M377" s="71">
        <f>VLOOKUP(завтрак7,таб,5,FALSE)</f>
        <v>0</v>
      </c>
      <c r="N377" s="81">
        <f>VLOOKUP(завтрак8,таб,5,FALSE)</f>
        <v>0</v>
      </c>
      <c r="O377" s="34">
        <f>VLOOKUP(обед1,таб,5,FALSE)</f>
        <v>0</v>
      </c>
      <c r="P377" s="33">
        <f>VLOOKUP(обед2,таб,5,FALSE)</f>
        <v>0</v>
      </c>
      <c r="Q377" s="33">
        <f>VLOOKUP(обед3,таб,5,FALSE)</f>
        <v>0</v>
      </c>
      <c r="R377" s="33">
        <f>VLOOKUP(обед4,таб,5,FALSE)</f>
        <v>0</v>
      </c>
      <c r="S377" s="33">
        <f>VLOOKUP(обед5,таб,5,FALSE)</f>
        <v>0</v>
      </c>
      <c r="T377" s="33">
        <f>VLOOKUP(обед6,таб,5,FALSE)</f>
        <v>0</v>
      </c>
      <c r="U377" s="33">
        <f>VLOOKUP(обед7,таб,5,FALSE)</f>
        <v>0</v>
      </c>
      <c r="V377" s="87">
        <f>VLOOKUP(обед8,таб,5,FALSE)</f>
        <v>0</v>
      </c>
      <c r="W377" s="34">
        <f>VLOOKUP(полдник1,таб,5,FALSE)</f>
        <v>0</v>
      </c>
      <c r="X377" s="33"/>
      <c r="Y377" s="87">
        <f>VLOOKUP(полдник3,таб,5,FALSE)</f>
        <v>0</v>
      </c>
      <c r="Z377" s="34">
        <f>VLOOKUP(ужин1,таб,5,FALSE)</f>
        <v>0</v>
      </c>
      <c r="AA377" s="33">
        <f>VLOOKUP(ужин2,таб,5,FALSE)</f>
        <v>0</v>
      </c>
      <c r="AB377" s="33">
        <f>VLOOKUP(ужин3,таб,5,FALSE)</f>
        <v>0</v>
      </c>
      <c r="AC377" s="33">
        <f>VLOOKUP(ужин4,таб,5,FALSE)</f>
        <v>0</v>
      </c>
      <c r="AD377" s="33">
        <f>VLOOKUP(ужин5,таб,5,FALSE)</f>
        <v>0</v>
      </c>
      <c r="AE377" s="33">
        <f>VLOOKUP(ужин6,таб,5,FALSE)</f>
        <v>0</v>
      </c>
      <c r="AF377" s="33">
        <f>VLOOKUP(ужин7,таб,5,FALSE)</f>
        <v>0</v>
      </c>
      <c r="AG377" s="87">
        <f>VLOOKUP(ужин8,таб,5,FALSE)</f>
        <v>0</v>
      </c>
      <c r="AH377" s="253"/>
      <c r="AI377" s="139">
        <f>AK377/сред</f>
        <v>0</v>
      </c>
      <c r="AJ377" s="140"/>
      <c r="AK377" s="143">
        <f>SUM(G378:AG378)</f>
        <v>0</v>
      </c>
      <c r="AL377" s="143"/>
      <c r="AM377" s="131">
        <f>IF(AK377=0,0,Таблиця!BT469)</f>
        <v>0</v>
      </c>
      <c r="AN377" s="129">
        <f>AK377*AM377</f>
        <v>0</v>
      </c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</row>
    <row r="378" spans="1:66" ht="30.75" customHeight="1" hidden="1">
      <c r="A378" s="136"/>
      <c r="B378" s="137"/>
      <c r="C378" s="137"/>
      <c r="D378" s="137"/>
      <c r="E378" s="138"/>
      <c r="F378" s="107" t="s">
        <v>96</v>
      </c>
      <c r="G378" s="75">
        <f aca="true" t="shared" si="331" ref="G378:AG378">IF(G377=0,"",завтракл*G377/1000)</f>
      </c>
      <c r="H378" s="23">
        <f t="shared" si="331"/>
      </c>
      <c r="I378" s="23"/>
      <c r="J378" s="23">
        <f t="shared" si="331"/>
      </c>
      <c r="K378" s="23">
        <f t="shared" si="331"/>
      </c>
      <c r="L378" s="122">
        <f t="shared" si="331"/>
      </c>
      <c r="M378" s="75">
        <f t="shared" si="331"/>
      </c>
      <c r="N378" s="83">
        <f t="shared" si="331"/>
      </c>
      <c r="O378" s="75">
        <f t="shared" si="331"/>
      </c>
      <c r="P378" s="23">
        <f t="shared" si="331"/>
      </c>
      <c r="Q378" s="23">
        <f t="shared" si="331"/>
      </c>
      <c r="R378" s="23">
        <f t="shared" si="331"/>
      </c>
      <c r="S378" s="23">
        <f t="shared" si="331"/>
      </c>
      <c r="T378" s="23">
        <f t="shared" si="331"/>
      </c>
      <c r="U378" s="23">
        <f t="shared" si="331"/>
      </c>
      <c r="V378" s="83">
        <f t="shared" si="331"/>
      </c>
      <c r="W378" s="25">
        <f t="shared" si="331"/>
      </c>
      <c r="X378" s="23"/>
      <c r="Y378" s="83">
        <f t="shared" si="331"/>
      </c>
      <c r="Z378" s="25">
        <f t="shared" si="331"/>
      </c>
      <c r="AA378" s="23">
        <f t="shared" si="331"/>
      </c>
      <c r="AB378" s="23">
        <f t="shared" si="331"/>
      </c>
      <c r="AC378" s="23">
        <f t="shared" si="331"/>
      </c>
      <c r="AD378" s="23">
        <f t="shared" si="331"/>
      </c>
      <c r="AE378" s="23">
        <f t="shared" si="331"/>
      </c>
      <c r="AF378" s="23">
        <f t="shared" si="331"/>
      </c>
      <c r="AG378" s="83">
        <f t="shared" si="331"/>
      </c>
      <c r="AH378" s="254"/>
      <c r="AI378" s="139"/>
      <c r="AJ378" s="140"/>
      <c r="AK378" s="143"/>
      <c r="AL378" s="143"/>
      <c r="AM378" s="132"/>
      <c r="AN378" s="130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</row>
    <row r="379" spans="1:66" ht="30.75" customHeight="1" hidden="1">
      <c r="A379" s="133"/>
      <c r="B379" s="134"/>
      <c r="C379" s="134"/>
      <c r="D379" s="134"/>
      <c r="E379" s="135"/>
      <c r="F379" s="106" t="s">
        <v>95</v>
      </c>
      <c r="G379" s="71">
        <f>VLOOKUP(завтрак1,таб,5,FALSE)</f>
        <v>0</v>
      </c>
      <c r="H379" s="26">
        <f>VLOOKUP(завтрак2,таб,5,FALSE)</f>
        <v>0</v>
      </c>
      <c r="I379" s="26"/>
      <c r="J379" s="26">
        <f>VLOOKUP(завтрак4,таб,5,FALSE)</f>
        <v>0</v>
      </c>
      <c r="K379" s="26">
        <f>VLOOKUP(завтрак5,таб,5,FALSE)</f>
        <v>0</v>
      </c>
      <c r="L379" s="116">
        <f>VLOOKUP(завтрак6,таб,5,FALSE)</f>
        <v>0</v>
      </c>
      <c r="M379" s="71">
        <f>VLOOKUP(завтрак7,таб,5,FALSE)</f>
        <v>0</v>
      </c>
      <c r="N379" s="81">
        <f>VLOOKUP(завтрак8,таб,5,FALSE)</f>
        <v>0</v>
      </c>
      <c r="O379" s="34">
        <f>VLOOKUP(обед1,таб,5,FALSE)</f>
        <v>0</v>
      </c>
      <c r="P379" s="33">
        <f>VLOOKUP(обед2,таб,5,FALSE)</f>
        <v>0</v>
      </c>
      <c r="Q379" s="33">
        <f>VLOOKUP(обед3,таб,5,FALSE)</f>
        <v>0</v>
      </c>
      <c r="R379" s="33">
        <f>VLOOKUP(обед4,таб,5,FALSE)</f>
        <v>0</v>
      </c>
      <c r="S379" s="33">
        <f>VLOOKUP(обед5,таб,5,FALSE)</f>
        <v>0</v>
      </c>
      <c r="T379" s="33">
        <f>VLOOKUP(обед6,таб,5,FALSE)</f>
        <v>0</v>
      </c>
      <c r="U379" s="33">
        <f>VLOOKUP(обед7,таб,5,FALSE)</f>
        <v>0</v>
      </c>
      <c r="V379" s="87">
        <f>VLOOKUP(обед8,таб,5,FALSE)</f>
        <v>0</v>
      </c>
      <c r="W379" s="34">
        <f>VLOOKUP(полдник1,таб,5,FALSE)</f>
        <v>0</v>
      </c>
      <c r="X379" s="33"/>
      <c r="Y379" s="87">
        <f>VLOOKUP(полдник3,таб,5,FALSE)</f>
        <v>0</v>
      </c>
      <c r="Z379" s="34">
        <f>VLOOKUP(ужин1,таб,5,FALSE)</f>
        <v>0</v>
      </c>
      <c r="AA379" s="33">
        <f>VLOOKUP(ужин2,таб,5,FALSE)</f>
        <v>0</v>
      </c>
      <c r="AB379" s="33">
        <f>VLOOKUP(ужин3,таб,5,FALSE)</f>
        <v>0</v>
      </c>
      <c r="AC379" s="33">
        <f>VLOOKUP(ужин4,таб,5,FALSE)</f>
        <v>0</v>
      </c>
      <c r="AD379" s="33">
        <f>VLOOKUP(ужин5,таб,5,FALSE)</f>
        <v>0</v>
      </c>
      <c r="AE379" s="33">
        <f>VLOOKUP(ужин6,таб,5,FALSE)</f>
        <v>0</v>
      </c>
      <c r="AF379" s="33">
        <f>VLOOKUP(ужин7,таб,5,FALSE)</f>
        <v>0</v>
      </c>
      <c r="AG379" s="87">
        <f>VLOOKUP(ужин8,таб,5,FALSE)</f>
        <v>0</v>
      </c>
      <c r="AH379" s="253"/>
      <c r="AI379" s="139">
        <f>AK379/сред</f>
        <v>0</v>
      </c>
      <c r="AJ379" s="140"/>
      <c r="AK379" s="143">
        <f>SUM(G380:AG380)</f>
        <v>0</v>
      </c>
      <c r="AL379" s="143"/>
      <c r="AM379" s="131">
        <f>IF(AK379=0,0,Таблиця!BT471)</f>
        <v>0</v>
      </c>
      <c r="AN379" s="129">
        <f>AK379*AM379</f>
        <v>0</v>
      </c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</row>
    <row r="380" spans="1:66" ht="30.75" customHeight="1" hidden="1">
      <c r="A380" s="136"/>
      <c r="B380" s="137"/>
      <c r="C380" s="137"/>
      <c r="D380" s="137"/>
      <c r="E380" s="138"/>
      <c r="F380" s="107" t="s">
        <v>96</v>
      </c>
      <c r="G380" s="75">
        <f aca="true" t="shared" si="332" ref="G380:AG380">IF(G379=0,"",завтракл*G379/1000)</f>
      </c>
      <c r="H380" s="23">
        <f t="shared" si="332"/>
      </c>
      <c r="I380" s="23"/>
      <c r="J380" s="23">
        <f t="shared" si="332"/>
      </c>
      <c r="K380" s="23">
        <f t="shared" si="332"/>
      </c>
      <c r="L380" s="122">
        <f t="shared" si="332"/>
      </c>
      <c r="M380" s="75">
        <f t="shared" si="332"/>
      </c>
      <c r="N380" s="83">
        <f t="shared" si="332"/>
      </c>
      <c r="O380" s="75">
        <f t="shared" si="332"/>
      </c>
      <c r="P380" s="23">
        <f t="shared" si="332"/>
      </c>
      <c r="Q380" s="23">
        <f t="shared" si="332"/>
      </c>
      <c r="R380" s="23">
        <f t="shared" si="332"/>
      </c>
      <c r="S380" s="23">
        <f t="shared" si="332"/>
      </c>
      <c r="T380" s="23">
        <f t="shared" si="332"/>
      </c>
      <c r="U380" s="23">
        <f t="shared" si="332"/>
      </c>
      <c r="V380" s="83">
        <f t="shared" si="332"/>
      </c>
      <c r="W380" s="25">
        <f t="shared" si="332"/>
      </c>
      <c r="X380" s="23"/>
      <c r="Y380" s="83">
        <f t="shared" si="332"/>
      </c>
      <c r="Z380" s="25">
        <f t="shared" si="332"/>
      </c>
      <c r="AA380" s="23">
        <f t="shared" si="332"/>
      </c>
      <c r="AB380" s="23">
        <f t="shared" si="332"/>
      </c>
      <c r="AC380" s="23">
        <f t="shared" si="332"/>
      </c>
      <c r="AD380" s="23">
        <f t="shared" si="332"/>
      </c>
      <c r="AE380" s="23">
        <f t="shared" si="332"/>
      </c>
      <c r="AF380" s="23">
        <f t="shared" si="332"/>
      </c>
      <c r="AG380" s="83">
        <f t="shared" si="332"/>
      </c>
      <c r="AH380" s="254"/>
      <c r="AI380" s="139"/>
      <c r="AJ380" s="140"/>
      <c r="AK380" s="143"/>
      <c r="AL380" s="143"/>
      <c r="AM380" s="132"/>
      <c r="AN380" s="130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</row>
    <row r="381" spans="1:66" ht="30.75" customHeight="1" hidden="1">
      <c r="A381" s="133"/>
      <c r="B381" s="134"/>
      <c r="C381" s="134"/>
      <c r="D381" s="134"/>
      <c r="E381" s="135"/>
      <c r="F381" s="106" t="s">
        <v>95</v>
      </c>
      <c r="G381" s="71">
        <f>VLOOKUP(завтрак1,таб,5,FALSE)</f>
        <v>0</v>
      </c>
      <c r="H381" s="26">
        <f>VLOOKUP(завтрак2,таб,5,FALSE)</f>
        <v>0</v>
      </c>
      <c r="I381" s="26"/>
      <c r="J381" s="26">
        <f>VLOOKUP(завтрак4,таб,5,FALSE)</f>
        <v>0</v>
      </c>
      <c r="K381" s="26">
        <f>VLOOKUP(завтрак5,таб,5,FALSE)</f>
        <v>0</v>
      </c>
      <c r="L381" s="116">
        <f>VLOOKUP(завтрак6,таб,5,FALSE)</f>
        <v>0</v>
      </c>
      <c r="M381" s="71">
        <f>VLOOKUP(завтрак7,таб,5,FALSE)</f>
        <v>0</v>
      </c>
      <c r="N381" s="81">
        <f>VLOOKUP(завтрак8,таб,5,FALSE)</f>
        <v>0</v>
      </c>
      <c r="O381" s="34">
        <f>VLOOKUP(обед1,таб,5,FALSE)</f>
        <v>0</v>
      </c>
      <c r="P381" s="33">
        <f>VLOOKUP(обед2,таб,5,FALSE)</f>
        <v>0</v>
      </c>
      <c r="Q381" s="33">
        <f>VLOOKUP(обед3,таб,5,FALSE)</f>
        <v>0</v>
      </c>
      <c r="R381" s="33">
        <f>VLOOKUP(обед4,таб,5,FALSE)</f>
        <v>0</v>
      </c>
      <c r="S381" s="33">
        <f>VLOOKUP(обед5,таб,5,FALSE)</f>
        <v>0</v>
      </c>
      <c r="T381" s="33">
        <f>VLOOKUP(обед6,таб,5,FALSE)</f>
        <v>0</v>
      </c>
      <c r="U381" s="33">
        <f>VLOOKUP(обед7,таб,5,FALSE)</f>
        <v>0</v>
      </c>
      <c r="V381" s="87">
        <f>VLOOKUP(обед8,таб,5,FALSE)</f>
        <v>0</v>
      </c>
      <c r="W381" s="34">
        <f>VLOOKUP(полдник1,таб,5,FALSE)</f>
        <v>0</v>
      </c>
      <c r="X381" s="33"/>
      <c r="Y381" s="87">
        <f>VLOOKUP(полдник3,таб,5,FALSE)</f>
        <v>0</v>
      </c>
      <c r="Z381" s="34">
        <f>VLOOKUP(ужин1,таб,5,FALSE)</f>
        <v>0</v>
      </c>
      <c r="AA381" s="33">
        <f>VLOOKUP(ужин2,таб,5,FALSE)</f>
        <v>0</v>
      </c>
      <c r="AB381" s="33">
        <f>VLOOKUP(ужин3,таб,5,FALSE)</f>
        <v>0</v>
      </c>
      <c r="AC381" s="33">
        <f>VLOOKUP(ужин4,таб,5,FALSE)</f>
        <v>0</v>
      </c>
      <c r="AD381" s="33">
        <f>VLOOKUP(ужин5,таб,5,FALSE)</f>
        <v>0</v>
      </c>
      <c r="AE381" s="33">
        <f>VLOOKUP(ужин6,таб,5,FALSE)</f>
        <v>0</v>
      </c>
      <c r="AF381" s="33">
        <f>VLOOKUP(ужин7,таб,5,FALSE)</f>
        <v>0</v>
      </c>
      <c r="AG381" s="87">
        <f>VLOOKUP(ужин8,таб,5,FALSE)</f>
        <v>0</v>
      </c>
      <c r="AH381" s="253"/>
      <c r="AI381" s="139">
        <f>AK381/сред</f>
        <v>0</v>
      </c>
      <c r="AJ381" s="140"/>
      <c r="AK381" s="143">
        <f>SUM(G382:AG382)</f>
        <v>0</v>
      </c>
      <c r="AL381" s="143"/>
      <c r="AM381" s="131">
        <f>IF(AK381=0,0,Таблиця!BT473)</f>
        <v>0</v>
      </c>
      <c r="AN381" s="129">
        <f>AK381*AM381</f>
        <v>0</v>
      </c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</row>
    <row r="382" spans="1:66" ht="30.75" customHeight="1" hidden="1">
      <c r="A382" s="136"/>
      <c r="B382" s="137"/>
      <c r="C382" s="137"/>
      <c r="D382" s="137"/>
      <c r="E382" s="138"/>
      <c r="F382" s="107" t="s">
        <v>96</v>
      </c>
      <c r="G382" s="75">
        <f aca="true" t="shared" si="333" ref="G382:AG382">IF(G381=0,"",завтракл*G381/1000)</f>
      </c>
      <c r="H382" s="23">
        <f t="shared" si="333"/>
      </c>
      <c r="I382" s="23"/>
      <c r="J382" s="23">
        <f t="shared" si="333"/>
      </c>
      <c r="K382" s="23">
        <f t="shared" si="333"/>
      </c>
      <c r="L382" s="122">
        <f t="shared" si="333"/>
      </c>
      <c r="M382" s="75">
        <f t="shared" si="333"/>
      </c>
      <c r="N382" s="83">
        <f t="shared" si="333"/>
      </c>
      <c r="O382" s="75">
        <f t="shared" si="333"/>
      </c>
      <c r="P382" s="23">
        <f t="shared" si="333"/>
      </c>
      <c r="Q382" s="23">
        <f t="shared" si="333"/>
      </c>
      <c r="R382" s="23">
        <f t="shared" si="333"/>
      </c>
      <c r="S382" s="23">
        <f t="shared" si="333"/>
      </c>
      <c r="T382" s="23">
        <f t="shared" si="333"/>
      </c>
      <c r="U382" s="23">
        <f t="shared" si="333"/>
      </c>
      <c r="V382" s="83">
        <f t="shared" si="333"/>
      </c>
      <c r="W382" s="25">
        <f t="shared" si="333"/>
      </c>
      <c r="X382" s="23"/>
      <c r="Y382" s="83">
        <f t="shared" si="333"/>
      </c>
      <c r="Z382" s="25">
        <f t="shared" si="333"/>
      </c>
      <c r="AA382" s="23">
        <f t="shared" si="333"/>
      </c>
      <c r="AB382" s="23">
        <f t="shared" si="333"/>
      </c>
      <c r="AC382" s="23">
        <f t="shared" si="333"/>
      </c>
      <c r="AD382" s="23">
        <f t="shared" si="333"/>
      </c>
      <c r="AE382" s="23">
        <f t="shared" si="333"/>
      </c>
      <c r="AF382" s="23">
        <f t="shared" si="333"/>
      </c>
      <c r="AG382" s="83">
        <f t="shared" si="333"/>
      </c>
      <c r="AH382" s="254"/>
      <c r="AI382" s="139"/>
      <c r="AJ382" s="140"/>
      <c r="AK382" s="143"/>
      <c r="AL382" s="143"/>
      <c r="AM382" s="132"/>
      <c r="AN382" s="130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</row>
    <row r="383" spans="1:66" ht="30.75" customHeight="1" hidden="1">
      <c r="A383" s="133"/>
      <c r="B383" s="134"/>
      <c r="C383" s="134"/>
      <c r="D383" s="134"/>
      <c r="E383" s="135"/>
      <c r="F383" s="106" t="s">
        <v>95</v>
      </c>
      <c r="G383" s="71">
        <f>VLOOKUP(завтрак1,таб,5,FALSE)</f>
        <v>0</v>
      </c>
      <c r="H383" s="26">
        <f>VLOOKUP(завтрак2,таб,5,FALSE)</f>
        <v>0</v>
      </c>
      <c r="I383" s="26"/>
      <c r="J383" s="26">
        <f>VLOOKUP(завтрак4,таб,5,FALSE)</f>
        <v>0</v>
      </c>
      <c r="K383" s="26">
        <f>VLOOKUP(завтрак5,таб,5,FALSE)</f>
        <v>0</v>
      </c>
      <c r="L383" s="116">
        <f>VLOOKUP(завтрак6,таб,5,FALSE)</f>
        <v>0</v>
      </c>
      <c r="M383" s="71">
        <f>VLOOKUP(завтрак7,таб,5,FALSE)</f>
        <v>0</v>
      </c>
      <c r="N383" s="81">
        <f>VLOOKUP(завтрак8,таб,5,FALSE)</f>
        <v>0</v>
      </c>
      <c r="O383" s="34">
        <f>VLOOKUP(обед1,таб,5,FALSE)</f>
        <v>0</v>
      </c>
      <c r="P383" s="33">
        <f>VLOOKUP(обед2,таб,5,FALSE)</f>
        <v>0</v>
      </c>
      <c r="Q383" s="33">
        <f>VLOOKUP(обед3,таб,5,FALSE)</f>
        <v>0</v>
      </c>
      <c r="R383" s="33">
        <f>VLOOKUP(обед4,таб,5,FALSE)</f>
        <v>0</v>
      </c>
      <c r="S383" s="33">
        <f>VLOOKUP(обед5,таб,5,FALSE)</f>
        <v>0</v>
      </c>
      <c r="T383" s="33">
        <f>VLOOKUP(обед6,таб,5,FALSE)</f>
        <v>0</v>
      </c>
      <c r="U383" s="33">
        <f>VLOOKUP(обед7,таб,5,FALSE)</f>
        <v>0</v>
      </c>
      <c r="V383" s="87">
        <f>VLOOKUP(обед8,таб,5,FALSE)</f>
        <v>0</v>
      </c>
      <c r="W383" s="34">
        <f>VLOOKUP(полдник1,таб,5,FALSE)</f>
        <v>0</v>
      </c>
      <c r="X383" s="33"/>
      <c r="Y383" s="87">
        <f>VLOOKUP(полдник3,таб,5,FALSE)</f>
        <v>0</v>
      </c>
      <c r="Z383" s="34">
        <f>VLOOKUP(ужин1,таб,5,FALSE)</f>
        <v>0</v>
      </c>
      <c r="AA383" s="33">
        <f>VLOOKUP(ужин2,таб,5,FALSE)</f>
        <v>0</v>
      </c>
      <c r="AB383" s="33">
        <f>VLOOKUP(ужин3,таб,5,FALSE)</f>
        <v>0</v>
      </c>
      <c r="AC383" s="33">
        <f>VLOOKUP(ужин4,таб,5,FALSE)</f>
        <v>0</v>
      </c>
      <c r="AD383" s="33">
        <f>VLOOKUP(ужин5,таб,5,FALSE)</f>
        <v>0</v>
      </c>
      <c r="AE383" s="33">
        <f>VLOOKUP(ужин6,таб,5,FALSE)</f>
        <v>0</v>
      </c>
      <c r="AF383" s="33">
        <f>VLOOKUP(ужин7,таб,5,FALSE)</f>
        <v>0</v>
      </c>
      <c r="AG383" s="87">
        <f>VLOOKUP(ужин8,таб,5,FALSE)</f>
        <v>0</v>
      </c>
      <c r="AH383" s="253"/>
      <c r="AI383" s="139">
        <f>AK383/сред</f>
        <v>0</v>
      </c>
      <c r="AJ383" s="140"/>
      <c r="AK383" s="143">
        <f>SUM(G384:AG384)</f>
        <v>0</v>
      </c>
      <c r="AL383" s="143"/>
      <c r="AM383" s="131">
        <f>IF(AK383=0,0,Таблиця!BT475)</f>
        <v>0</v>
      </c>
      <c r="AN383" s="129">
        <f>AK383*AM383</f>
        <v>0</v>
      </c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</row>
    <row r="384" spans="1:66" ht="30.75" customHeight="1" hidden="1">
      <c r="A384" s="136"/>
      <c r="B384" s="137"/>
      <c r="C384" s="137"/>
      <c r="D384" s="137"/>
      <c r="E384" s="138"/>
      <c r="F384" s="107" t="s">
        <v>96</v>
      </c>
      <c r="G384" s="75">
        <f aca="true" t="shared" si="334" ref="G384:AG384">IF(G383=0,"",завтракл*G383/1000)</f>
      </c>
      <c r="H384" s="23">
        <f t="shared" si="334"/>
      </c>
      <c r="I384" s="23"/>
      <c r="J384" s="23">
        <f t="shared" si="334"/>
      </c>
      <c r="K384" s="23">
        <f t="shared" si="334"/>
      </c>
      <c r="L384" s="122">
        <f t="shared" si="334"/>
      </c>
      <c r="M384" s="75">
        <f t="shared" si="334"/>
      </c>
      <c r="N384" s="83">
        <f t="shared" si="334"/>
      </c>
      <c r="O384" s="75">
        <f t="shared" si="334"/>
      </c>
      <c r="P384" s="23">
        <f t="shared" si="334"/>
      </c>
      <c r="Q384" s="23">
        <f t="shared" si="334"/>
      </c>
      <c r="R384" s="23">
        <f t="shared" si="334"/>
      </c>
      <c r="S384" s="23">
        <f t="shared" si="334"/>
      </c>
      <c r="T384" s="23">
        <f t="shared" si="334"/>
      </c>
      <c r="U384" s="23">
        <f t="shared" si="334"/>
      </c>
      <c r="V384" s="83">
        <f t="shared" si="334"/>
      </c>
      <c r="W384" s="25">
        <f t="shared" si="334"/>
      </c>
      <c r="X384" s="23"/>
      <c r="Y384" s="83">
        <f t="shared" si="334"/>
      </c>
      <c r="Z384" s="25">
        <f t="shared" si="334"/>
      </c>
      <c r="AA384" s="23">
        <f t="shared" si="334"/>
      </c>
      <c r="AB384" s="23">
        <f t="shared" si="334"/>
      </c>
      <c r="AC384" s="23">
        <f t="shared" si="334"/>
      </c>
      <c r="AD384" s="23">
        <f t="shared" si="334"/>
      </c>
      <c r="AE384" s="23">
        <f t="shared" si="334"/>
      </c>
      <c r="AF384" s="23">
        <f t="shared" si="334"/>
      </c>
      <c r="AG384" s="83">
        <f t="shared" si="334"/>
      </c>
      <c r="AH384" s="254"/>
      <c r="AI384" s="139"/>
      <c r="AJ384" s="140"/>
      <c r="AK384" s="143"/>
      <c r="AL384" s="143"/>
      <c r="AM384" s="132"/>
      <c r="AN384" s="130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</row>
    <row r="385" spans="1:66" ht="30.75" customHeight="1" hidden="1">
      <c r="A385" s="133"/>
      <c r="B385" s="134"/>
      <c r="C385" s="134"/>
      <c r="D385" s="134"/>
      <c r="E385" s="135"/>
      <c r="F385" s="106" t="s">
        <v>95</v>
      </c>
      <c r="G385" s="71">
        <f>VLOOKUP(завтрак1,таб,5,FALSE)</f>
        <v>0</v>
      </c>
      <c r="H385" s="26">
        <f>VLOOKUP(завтрак2,таб,5,FALSE)</f>
        <v>0</v>
      </c>
      <c r="I385" s="26"/>
      <c r="J385" s="26">
        <f>VLOOKUP(завтрак4,таб,5,FALSE)</f>
        <v>0</v>
      </c>
      <c r="K385" s="26">
        <f>VLOOKUP(завтрак5,таб,5,FALSE)</f>
        <v>0</v>
      </c>
      <c r="L385" s="116">
        <f>VLOOKUP(завтрак6,таб,5,FALSE)</f>
        <v>0</v>
      </c>
      <c r="M385" s="71">
        <f>VLOOKUP(завтрак7,таб,5,FALSE)</f>
        <v>0</v>
      </c>
      <c r="N385" s="81">
        <f>VLOOKUP(завтрак8,таб,5,FALSE)</f>
        <v>0</v>
      </c>
      <c r="O385" s="34">
        <f>VLOOKUP(обед1,таб,5,FALSE)</f>
        <v>0</v>
      </c>
      <c r="P385" s="33">
        <f>VLOOKUP(обед2,таб,5,FALSE)</f>
        <v>0</v>
      </c>
      <c r="Q385" s="33">
        <f>VLOOKUP(обед3,таб,5,FALSE)</f>
        <v>0</v>
      </c>
      <c r="R385" s="33">
        <f>VLOOKUP(обед4,таб,5,FALSE)</f>
        <v>0</v>
      </c>
      <c r="S385" s="33">
        <f>VLOOKUP(обед5,таб,5,FALSE)</f>
        <v>0</v>
      </c>
      <c r="T385" s="33">
        <f>VLOOKUP(обед6,таб,5,FALSE)</f>
        <v>0</v>
      </c>
      <c r="U385" s="33">
        <f>VLOOKUP(обед7,таб,5,FALSE)</f>
        <v>0</v>
      </c>
      <c r="V385" s="87">
        <f>VLOOKUP(обед8,таб,5,FALSE)</f>
        <v>0</v>
      </c>
      <c r="W385" s="34">
        <f>VLOOKUP(полдник1,таб,5,FALSE)</f>
        <v>0</v>
      </c>
      <c r="X385" s="33"/>
      <c r="Y385" s="87">
        <f>VLOOKUP(полдник3,таб,5,FALSE)</f>
        <v>0</v>
      </c>
      <c r="Z385" s="34">
        <f>VLOOKUP(ужин1,таб,5,FALSE)</f>
        <v>0</v>
      </c>
      <c r="AA385" s="33">
        <f>VLOOKUP(ужин2,таб,5,FALSE)</f>
        <v>0</v>
      </c>
      <c r="AB385" s="33">
        <f>VLOOKUP(ужин3,таб,5,FALSE)</f>
        <v>0</v>
      </c>
      <c r="AC385" s="33">
        <f>VLOOKUP(ужин4,таб,5,FALSE)</f>
        <v>0</v>
      </c>
      <c r="AD385" s="33">
        <f>VLOOKUP(ужин5,таб,5,FALSE)</f>
        <v>0</v>
      </c>
      <c r="AE385" s="33">
        <f>VLOOKUP(ужин6,таб,5,FALSE)</f>
        <v>0</v>
      </c>
      <c r="AF385" s="33">
        <f>VLOOKUP(ужин7,таб,5,FALSE)</f>
        <v>0</v>
      </c>
      <c r="AG385" s="87">
        <f>VLOOKUP(ужин8,таб,5,FALSE)</f>
        <v>0</v>
      </c>
      <c r="AH385" s="253"/>
      <c r="AI385" s="139">
        <f>AK385/сред</f>
        <v>0</v>
      </c>
      <c r="AJ385" s="140"/>
      <c r="AK385" s="143">
        <f>SUM(G386:AG386)</f>
        <v>0</v>
      </c>
      <c r="AL385" s="143"/>
      <c r="AM385" s="131">
        <f>IF(AK385=0,0,Таблиця!BT477)</f>
        <v>0</v>
      </c>
      <c r="AN385" s="129">
        <f>AK385*AM385</f>
        <v>0</v>
      </c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</row>
    <row r="386" spans="1:66" ht="30.75" customHeight="1" hidden="1">
      <c r="A386" s="136"/>
      <c r="B386" s="137"/>
      <c r="C386" s="137"/>
      <c r="D386" s="137"/>
      <c r="E386" s="138"/>
      <c r="F386" s="107" t="s">
        <v>96</v>
      </c>
      <c r="G386" s="75">
        <f aca="true" t="shared" si="335" ref="G386:AG386">IF(G385=0,"",завтракл*G385/1000)</f>
      </c>
      <c r="H386" s="23">
        <f t="shared" si="335"/>
      </c>
      <c r="I386" s="23"/>
      <c r="J386" s="23">
        <f t="shared" si="335"/>
      </c>
      <c r="K386" s="23">
        <f t="shared" si="335"/>
      </c>
      <c r="L386" s="122">
        <f t="shared" si="335"/>
      </c>
      <c r="M386" s="75">
        <f t="shared" si="335"/>
      </c>
      <c r="N386" s="83">
        <f t="shared" si="335"/>
      </c>
      <c r="O386" s="75">
        <f t="shared" si="335"/>
      </c>
      <c r="P386" s="23">
        <f t="shared" si="335"/>
      </c>
      <c r="Q386" s="23">
        <f t="shared" si="335"/>
      </c>
      <c r="R386" s="23">
        <f t="shared" si="335"/>
      </c>
      <c r="S386" s="23">
        <f t="shared" si="335"/>
      </c>
      <c r="T386" s="23">
        <f t="shared" si="335"/>
      </c>
      <c r="U386" s="23">
        <f t="shared" si="335"/>
      </c>
      <c r="V386" s="83">
        <f t="shared" si="335"/>
      </c>
      <c r="W386" s="25">
        <f t="shared" si="335"/>
      </c>
      <c r="X386" s="23"/>
      <c r="Y386" s="83">
        <f t="shared" si="335"/>
      </c>
      <c r="Z386" s="25">
        <f t="shared" si="335"/>
      </c>
      <c r="AA386" s="23">
        <f t="shared" si="335"/>
      </c>
      <c r="AB386" s="23">
        <f t="shared" si="335"/>
      </c>
      <c r="AC386" s="23">
        <f t="shared" si="335"/>
      </c>
      <c r="AD386" s="23">
        <f t="shared" si="335"/>
      </c>
      <c r="AE386" s="23">
        <f t="shared" si="335"/>
      </c>
      <c r="AF386" s="23">
        <f t="shared" si="335"/>
      </c>
      <c r="AG386" s="83">
        <f t="shared" si="335"/>
      </c>
      <c r="AH386" s="254"/>
      <c r="AI386" s="139"/>
      <c r="AJ386" s="140"/>
      <c r="AK386" s="143"/>
      <c r="AL386" s="143"/>
      <c r="AM386" s="132"/>
      <c r="AN386" s="130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</row>
    <row r="387" spans="1:66" ht="30.75" customHeight="1" hidden="1">
      <c r="A387" s="133"/>
      <c r="B387" s="134"/>
      <c r="C387" s="134"/>
      <c r="D387" s="134"/>
      <c r="E387" s="135"/>
      <c r="F387" s="106" t="s">
        <v>95</v>
      </c>
      <c r="G387" s="71">
        <f>VLOOKUP(завтрак1,таб,5,FALSE)</f>
        <v>0</v>
      </c>
      <c r="H387" s="26">
        <f>VLOOKUP(завтрак2,таб,5,FALSE)</f>
        <v>0</v>
      </c>
      <c r="I387" s="26"/>
      <c r="J387" s="26">
        <f>VLOOKUP(завтрак4,таб,5,FALSE)</f>
        <v>0</v>
      </c>
      <c r="K387" s="26">
        <f>VLOOKUP(завтрак5,таб,5,FALSE)</f>
        <v>0</v>
      </c>
      <c r="L387" s="116">
        <f>VLOOKUP(завтрак6,таб,5,FALSE)</f>
        <v>0</v>
      </c>
      <c r="M387" s="71">
        <f>VLOOKUP(завтрак7,таб,5,FALSE)</f>
        <v>0</v>
      </c>
      <c r="N387" s="81">
        <f>VLOOKUP(завтрак8,таб,5,FALSE)</f>
        <v>0</v>
      </c>
      <c r="O387" s="34">
        <f>VLOOKUP(обед1,таб,5,FALSE)</f>
        <v>0</v>
      </c>
      <c r="P387" s="33">
        <f>VLOOKUP(обед2,таб,5,FALSE)</f>
        <v>0</v>
      </c>
      <c r="Q387" s="33">
        <f>VLOOKUP(обед3,таб,5,FALSE)</f>
        <v>0</v>
      </c>
      <c r="R387" s="33">
        <f>VLOOKUP(обед4,таб,5,FALSE)</f>
        <v>0</v>
      </c>
      <c r="S387" s="33">
        <f>VLOOKUP(обед5,таб,5,FALSE)</f>
        <v>0</v>
      </c>
      <c r="T387" s="33">
        <f>VLOOKUP(обед6,таб,5,FALSE)</f>
        <v>0</v>
      </c>
      <c r="U387" s="33">
        <f>VLOOKUP(обед7,таб,5,FALSE)</f>
        <v>0</v>
      </c>
      <c r="V387" s="87">
        <f>VLOOKUP(обед8,таб,5,FALSE)</f>
        <v>0</v>
      </c>
      <c r="W387" s="34">
        <f>VLOOKUP(полдник1,таб,5,FALSE)</f>
        <v>0</v>
      </c>
      <c r="X387" s="33"/>
      <c r="Y387" s="87">
        <f>VLOOKUP(полдник3,таб,5,FALSE)</f>
        <v>0</v>
      </c>
      <c r="Z387" s="34">
        <f>VLOOKUP(ужин1,таб,5,FALSE)</f>
        <v>0</v>
      </c>
      <c r="AA387" s="33">
        <f>VLOOKUP(ужин2,таб,5,FALSE)</f>
        <v>0</v>
      </c>
      <c r="AB387" s="33">
        <f>VLOOKUP(ужин3,таб,5,FALSE)</f>
        <v>0</v>
      </c>
      <c r="AC387" s="33">
        <f>VLOOKUP(ужин4,таб,5,FALSE)</f>
        <v>0</v>
      </c>
      <c r="AD387" s="33">
        <f>VLOOKUP(ужин5,таб,5,FALSE)</f>
        <v>0</v>
      </c>
      <c r="AE387" s="33">
        <f>VLOOKUP(ужин6,таб,5,FALSE)</f>
        <v>0</v>
      </c>
      <c r="AF387" s="33">
        <f>VLOOKUP(ужин7,таб,5,FALSE)</f>
        <v>0</v>
      </c>
      <c r="AG387" s="87">
        <f>VLOOKUP(ужин8,таб,5,FALSE)</f>
        <v>0</v>
      </c>
      <c r="AH387" s="253"/>
      <c r="AI387" s="139">
        <f>AK387/сред</f>
        <v>0</v>
      </c>
      <c r="AJ387" s="140"/>
      <c r="AK387" s="143">
        <f>SUM(G388:AG388)</f>
        <v>0</v>
      </c>
      <c r="AL387" s="143"/>
      <c r="AM387" s="131">
        <f>IF(AK387=0,0,Таблиця!BT479)</f>
        <v>0</v>
      </c>
      <c r="AN387" s="129">
        <f>AK387*AM387</f>
        <v>0</v>
      </c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</row>
    <row r="388" spans="1:66" ht="30.75" customHeight="1" hidden="1">
      <c r="A388" s="136"/>
      <c r="B388" s="137"/>
      <c r="C388" s="137"/>
      <c r="D388" s="137"/>
      <c r="E388" s="138"/>
      <c r="F388" s="107" t="s">
        <v>96</v>
      </c>
      <c r="G388" s="75">
        <f aca="true" t="shared" si="336" ref="G388:AG388">IF(G387=0,"",завтракл*G387/1000)</f>
      </c>
      <c r="H388" s="23">
        <f t="shared" si="336"/>
      </c>
      <c r="I388" s="23"/>
      <c r="J388" s="23">
        <f t="shared" si="336"/>
      </c>
      <c r="K388" s="23">
        <f t="shared" si="336"/>
      </c>
      <c r="L388" s="122">
        <f t="shared" si="336"/>
      </c>
      <c r="M388" s="75">
        <f t="shared" si="336"/>
      </c>
      <c r="N388" s="83">
        <f t="shared" si="336"/>
      </c>
      <c r="O388" s="75">
        <f t="shared" si="336"/>
      </c>
      <c r="P388" s="23">
        <f t="shared" si="336"/>
      </c>
      <c r="Q388" s="23">
        <f t="shared" si="336"/>
      </c>
      <c r="R388" s="23">
        <f t="shared" si="336"/>
      </c>
      <c r="S388" s="23">
        <f t="shared" si="336"/>
      </c>
      <c r="T388" s="23">
        <f t="shared" si="336"/>
      </c>
      <c r="U388" s="23">
        <f t="shared" si="336"/>
      </c>
      <c r="V388" s="83">
        <f t="shared" si="336"/>
      </c>
      <c r="W388" s="25">
        <f t="shared" si="336"/>
      </c>
      <c r="X388" s="23"/>
      <c r="Y388" s="83">
        <f t="shared" si="336"/>
      </c>
      <c r="Z388" s="25">
        <f t="shared" si="336"/>
      </c>
      <c r="AA388" s="23">
        <f t="shared" si="336"/>
      </c>
      <c r="AB388" s="23">
        <f t="shared" si="336"/>
      </c>
      <c r="AC388" s="23">
        <f t="shared" si="336"/>
      </c>
      <c r="AD388" s="23">
        <f t="shared" si="336"/>
      </c>
      <c r="AE388" s="23">
        <f t="shared" si="336"/>
      </c>
      <c r="AF388" s="23">
        <f t="shared" si="336"/>
      </c>
      <c r="AG388" s="83">
        <f t="shared" si="336"/>
      </c>
      <c r="AH388" s="254"/>
      <c r="AI388" s="139"/>
      <c r="AJ388" s="140"/>
      <c r="AK388" s="143"/>
      <c r="AL388" s="143"/>
      <c r="AM388" s="132"/>
      <c r="AN388" s="130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</row>
    <row r="389" spans="1:66" ht="30.75" customHeight="1" hidden="1">
      <c r="A389" s="133"/>
      <c r="B389" s="134"/>
      <c r="C389" s="134"/>
      <c r="D389" s="134"/>
      <c r="E389" s="135"/>
      <c r="F389" s="106" t="s">
        <v>95</v>
      </c>
      <c r="G389" s="71">
        <f>VLOOKUP(завтрак1,таб,5,FALSE)</f>
        <v>0</v>
      </c>
      <c r="H389" s="26">
        <f>VLOOKUP(завтрак2,таб,5,FALSE)</f>
        <v>0</v>
      </c>
      <c r="I389" s="26"/>
      <c r="J389" s="26">
        <f>VLOOKUP(завтрак4,таб,5,FALSE)</f>
        <v>0</v>
      </c>
      <c r="K389" s="26">
        <f>VLOOKUP(завтрак5,таб,5,FALSE)</f>
        <v>0</v>
      </c>
      <c r="L389" s="116">
        <f>VLOOKUP(завтрак6,таб,5,FALSE)</f>
        <v>0</v>
      </c>
      <c r="M389" s="71">
        <f>VLOOKUP(завтрак7,таб,5,FALSE)</f>
        <v>0</v>
      </c>
      <c r="N389" s="81">
        <f>VLOOKUP(завтрак8,таб,5,FALSE)</f>
        <v>0</v>
      </c>
      <c r="O389" s="34">
        <f>VLOOKUP(обед1,таб,5,FALSE)</f>
        <v>0</v>
      </c>
      <c r="P389" s="33">
        <f>VLOOKUP(обед2,таб,5,FALSE)</f>
        <v>0</v>
      </c>
      <c r="Q389" s="33">
        <f>VLOOKUP(обед3,таб,5,FALSE)</f>
        <v>0</v>
      </c>
      <c r="R389" s="33">
        <f>VLOOKUP(обед4,таб,5,FALSE)</f>
        <v>0</v>
      </c>
      <c r="S389" s="33">
        <f>VLOOKUP(обед5,таб,5,FALSE)</f>
        <v>0</v>
      </c>
      <c r="T389" s="33">
        <f>VLOOKUP(обед6,таб,5,FALSE)</f>
        <v>0</v>
      </c>
      <c r="U389" s="33">
        <f>VLOOKUP(обед7,таб,5,FALSE)</f>
        <v>0</v>
      </c>
      <c r="V389" s="87">
        <f>VLOOKUP(обед8,таб,5,FALSE)</f>
        <v>0</v>
      </c>
      <c r="W389" s="34">
        <f>VLOOKUP(полдник1,таб,5,FALSE)</f>
        <v>0</v>
      </c>
      <c r="X389" s="33"/>
      <c r="Y389" s="87">
        <f>VLOOKUP(полдник3,таб,5,FALSE)</f>
        <v>0</v>
      </c>
      <c r="Z389" s="34">
        <f>VLOOKUP(ужин1,таб,5,FALSE)</f>
        <v>0</v>
      </c>
      <c r="AA389" s="33">
        <f>VLOOKUP(ужин2,таб,5,FALSE)</f>
        <v>0</v>
      </c>
      <c r="AB389" s="33">
        <f>VLOOKUP(ужин3,таб,5,FALSE)</f>
        <v>0</v>
      </c>
      <c r="AC389" s="33">
        <f>VLOOKUP(ужин4,таб,5,FALSE)</f>
        <v>0</v>
      </c>
      <c r="AD389" s="33">
        <f>VLOOKUP(ужин5,таб,5,FALSE)</f>
        <v>0</v>
      </c>
      <c r="AE389" s="33">
        <f>VLOOKUP(ужин6,таб,5,FALSE)</f>
        <v>0</v>
      </c>
      <c r="AF389" s="33">
        <f>VLOOKUP(ужин7,таб,5,FALSE)</f>
        <v>0</v>
      </c>
      <c r="AG389" s="87">
        <f>VLOOKUP(ужин8,таб,5,FALSE)</f>
        <v>0</v>
      </c>
      <c r="AH389" s="253"/>
      <c r="AI389" s="139">
        <f>AK389/сред</f>
        <v>0</v>
      </c>
      <c r="AJ389" s="140"/>
      <c r="AK389" s="143">
        <f>SUM(G390:AG390)</f>
        <v>0</v>
      </c>
      <c r="AL389" s="143"/>
      <c r="AM389" s="131">
        <f>IF(AK389=0,0,Таблиця!BT481)</f>
        <v>0</v>
      </c>
      <c r="AN389" s="129">
        <f>AK389*AM389</f>
        <v>0</v>
      </c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</row>
    <row r="390" spans="1:66" ht="30.75" customHeight="1" hidden="1">
      <c r="A390" s="136"/>
      <c r="B390" s="137"/>
      <c r="C390" s="137"/>
      <c r="D390" s="137"/>
      <c r="E390" s="138"/>
      <c r="F390" s="107" t="s">
        <v>96</v>
      </c>
      <c r="G390" s="75">
        <f aca="true" t="shared" si="337" ref="G390:AG390">IF(G389=0,"",завтракл*G389/1000)</f>
      </c>
      <c r="H390" s="23">
        <f t="shared" si="337"/>
      </c>
      <c r="I390" s="23"/>
      <c r="J390" s="23">
        <f t="shared" si="337"/>
      </c>
      <c r="K390" s="23">
        <f t="shared" si="337"/>
      </c>
      <c r="L390" s="122">
        <f t="shared" si="337"/>
      </c>
      <c r="M390" s="75">
        <f t="shared" si="337"/>
      </c>
      <c r="N390" s="83">
        <f t="shared" si="337"/>
      </c>
      <c r="O390" s="75">
        <f t="shared" si="337"/>
      </c>
      <c r="P390" s="23">
        <f t="shared" si="337"/>
      </c>
      <c r="Q390" s="23">
        <f t="shared" si="337"/>
      </c>
      <c r="R390" s="23">
        <f t="shared" si="337"/>
      </c>
      <c r="S390" s="23">
        <f t="shared" si="337"/>
      </c>
      <c r="T390" s="23">
        <f t="shared" si="337"/>
      </c>
      <c r="U390" s="23">
        <f t="shared" si="337"/>
      </c>
      <c r="V390" s="83">
        <f t="shared" si="337"/>
      </c>
      <c r="W390" s="25">
        <f t="shared" si="337"/>
      </c>
      <c r="X390" s="23"/>
      <c r="Y390" s="83">
        <f t="shared" si="337"/>
      </c>
      <c r="Z390" s="25">
        <f t="shared" si="337"/>
      </c>
      <c r="AA390" s="23">
        <f t="shared" si="337"/>
      </c>
      <c r="AB390" s="23">
        <f t="shared" si="337"/>
      </c>
      <c r="AC390" s="23">
        <f t="shared" si="337"/>
      </c>
      <c r="AD390" s="23">
        <f t="shared" si="337"/>
      </c>
      <c r="AE390" s="23">
        <f t="shared" si="337"/>
      </c>
      <c r="AF390" s="23">
        <f t="shared" si="337"/>
      </c>
      <c r="AG390" s="83">
        <f t="shared" si="337"/>
      </c>
      <c r="AH390" s="254"/>
      <c r="AI390" s="139"/>
      <c r="AJ390" s="140"/>
      <c r="AK390" s="143"/>
      <c r="AL390" s="143"/>
      <c r="AM390" s="132"/>
      <c r="AN390" s="130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</row>
    <row r="391" spans="1:66" ht="30.75" customHeight="1" hidden="1">
      <c r="A391" s="133"/>
      <c r="B391" s="134"/>
      <c r="C391" s="134"/>
      <c r="D391" s="134"/>
      <c r="E391" s="135"/>
      <c r="F391" s="106" t="s">
        <v>95</v>
      </c>
      <c r="G391" s="71">
        <f>VLOOKUP(завтрак1,таб,5,FALSE)</f>
        <v>0</v>
      </c>
      <c r="H391" s="26">
        <f>VLOOKUP(завтрак2,таб,5,FALSE)</f>
        <v>0</v>
      </c>
      <c r="I391" s="26"/>
      <c r="J391" s="26">
        <f>VLOOKUP(завтрак4,таб,5,FALSE)</f>
        <v>0</v>
      </c>
      <c r="K391" s="26">
        <f>VLOOKUP(завтрак5,таб,5,FALSE)</f>
        <v>0</v>
      </c>
      <c r="L391" s="116">
        <f>VLOOKUP(завтрак6,таб,5,FALSE)</f>
        <v>0</v>
      </c>
      <c r="M391" s="71">
        <f>VLOOKUP(завтрак7,таб,5,FALSE)</f>
        <v>0</v>
      </c>
      <c r="N391" s="81">
        <f>VLOOKUP(завтрак8,таб,5,FALSE)</f>
        <v>0</v>
      </c>
      <c r="O391" s="34">
        <f>VLOOKUP(обед1,таб,5,FALSE)</f>
        <v>0</v>
      </c>
      <c r="P391" s="33">
        <f>VLOOKUP(обед2,таб,5,FALSE)</f>
        <v>0</v>
      </c>
      <c r="Q391" s="33">
        <f>VLOOKUP(обед3,таб,5,FALSE)</f>
        <v>0</v>
      </c>
      <c r="R391" s="33">
        <f>VLOOKUP(обед4,таб,5,FALSE)</f>
        <v>0</v>
      </c>
      <c r="S391" s="33">
        <f>VLOOKUP(обед5,таб,5,FALSE)</f>
        <v>0</v>
      </c>
      <c r="T391" s="33">
        <f>VLOOKUP(обед6,таб,5,FALSE)</f>
        <v>0</v>
      </c>
      <c r="U391" s="33">
        <f>VLOOKUP(обед7,таб,5,FALSE)</f>
        <v>0</v>
      </c>
      <c r="V391" s="87">
        <f>VLOOKUP(обед8,таб,5,FALSE)</f>
        <v>0</v>
      </c>
      <c r="W391" s="34">
        <f>VLOOKUP(полдник1,таб,5,FALSE)</f>
        <v>0</v>
      </c>
      <c r="X391" s="33"/>
      <c r="Y391" s="87">
        <f>VLOOKUP(полдник3,таб,5,FALSE)</f>
        <v>0</v>
      </c>
      <c r="Z391" s="34">
        <f>VLOOKUP(ужин1,таб,5,FALSE)</f>
        <v>0</v>
      </c>
      <c r="AA391" s="33">
        <f>VLOOKUP(ужин2,таб,5,FALSE)</f>
        <v>0</v>
      </c>
      <c r="AB391" s="33">
        <f>VLOOKUP(ужин3,таб,5,FALSE)</f>
        <v>0</v>
      </c>
      <c r="AC391" s="33">
        <f>VLOOKUP(ужин4,таб,5,FALSE)</f>
        <v>0</v>
      </c>
      <c r="AD391" s="33">
        <f>VLOOKUP(ужин5,таб,5,FALSE)</f>
        <v>0</v>
      </c>
      <c r="AE391" s="33">
        <f>VLOOKUP(ужин6,таб,5,FALSE)</f>
        <v>0</v>
      </c>
      <c r="AF391" s="33">
        <f>VLOOKUP(ужин7,таб,5,FALSE)</f>
        <v>0</v>
      </c>
      <c r="AG391" s="87">
        <f>VLOOKUP(ужин8,таб,5,FALSE)</f>
        <v>0</v>
      </c>
      <c r="AH391" s="253"/>
      <c r="AI391" s="139">
        <f>AK391/сред</f>
        <v>0</v>
      </c>
      <c r="AJ391" s="140"/>
      <c r="AK391" s="143">
        <f>SUM(G392:AG392)</f>
        <v>0</v>
      </c>
      <c r="AL391" s="143"/>
      <c r="AM391" s="131">
        <f>IF(AK391=0,0,Таблиця!BT483)</f>
        <v>0</v>
      </c>
      <c r="AN391" s="129">
        <f>AK391*AM391</f>
        <v>0</v>
      </c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</row>
    <row r="392" spans="1:66" ht="30.75" customHeight="1" hidden="1">
      <c r="A392" s="136"/>
      <c r="B392" s="137"/>
      <c r="C392" s="137"/>
      <c r="D392" s="137"/>
      <c r="E392" s="138"/>
      <c r="F392" s="107" t="s">
        <v>96</v>
      </c>
      <c r="G392" s="75">
        <f aca="true" t="shared" si="338" ref="G392:AG392">IF(G391=0,"",завтракл*G391/1000)</f>
      </c>
      <c r="H392" s="23">
        <f t="shared" si="338"/>
      </c>
      <c r="I392" s="23"/>
      <c r="J392" s="23">
        <f t="shared" si="338"/>
      </c>
      <c r="K392" s="23">
        <f t="shared" si="338"/>
      </c>
      <c r="L392" s="122">
        <f t="shared" si="338"/>
      </c>
      <c r="M392" s="75">
        <f t="shared" si="338"/>
      </c>
      <c r="N392" s="83">
        <f t="shared" si="338"/>
      </c>
      <c r="O392" s="75">
        <f t="shared" si="338"/>
      </c>
      <c r="P392" s="23">
        <f t="shared" si="338"/>
      </c>
      <c r="Q392" s="23">
        <f t="shared" si="338"/>
      </c>
      <c r="R392" s="23">
        <f t="shared" si="338"/>
      </c>
      <c r="S392" s="23">
        <f t="shared" si="338"/>
      </c>
      <c r="T392" s="23">
        <f t="shared" si="338"/>
      </c>
      <c r="U392" s="23">
        <f t="shared" si="338"/>
      </c>
      <c r="V392" s="83">
        <f t="shared" si="338"/>
      </c>
      <c r="W392" s="25">
        <f t="shared" si="338"/>
      </c>
      <c r="X392" s="23"/>
      <c r="Y392" s="83">
        <f t="shared" si="338"/>
      </c>
      <c r="Z392" s="25">
        <f t="shared" si="338"/>
      </c>
      <c r="AA392" s="23">
        <f t="shared" si="338"/>
      </c>
      <c r="AB392" s="23">
        <f t="shared" si="338"/>
      </c>
      <c r="AC392" s="23">
        <f t="shared" si="338"/>
      </c>
      <c r="AD392" s="23">
        <f t="shared" si="338"/>
      </c>
      <c r="AE392" s="23">
        <f t="shared" si="338"/>
      </c>
      <c r="AF392" s="23">
        <f t="shared" si="338"/>
      </c>
      <c r="AG392" s="83">
        <f t="shared" si="338"/>
      </c>
      <c r="AH392" s="254"/>
      <c r="AI392" s="139"/>
      <c r="AJ392" s="140"/>
      <c r="AK392" s="143"/>
      <c r="AL392" s="143"/>
      <c r="AM392" s="132"/>
      <c r="AN392" s="130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</row>
    <row r="393" spans="1:66" ht="30.75" customHeight="1" hidden="1">
      <c r="A393" s="133"/>
      <c r="B393" s="134"/>
      <c r="C393" s="134"/>
      <c r="D393" s="134"/>
      <c r="E393" s="135"/>
      <c r="F393" s="106" t="s">
        <v>95</v>
      </c>
      <c r="G393" s="71">
        <f>VLOOKUP(завтрак1,таб,5,FALSE)</f>
        <v>0</v>
      </c>
      <c r="H393" s="26">
        <f>VLOOKUP(завтрак2,таб,5,FALSE)</f>
        <v>0</v>
      </c>
      <c r="I393" s="26"/>
      <c r="J393" s="26">
        <f>VLOOKUP(завтрак4,таб,5,FALSE)</f>
        <v>0</v>
      </c>
      <c r="K393" s="26">
        <f>VLOOKUP(завтрак5,таб,5,FALSE)</f>
        <v>0</v>
      </c>
      <c r="L393" s="116">
        <f>VLOOKUP(завтрак6,таб,5,FALSE)</f>
        <v>0</v>
      </c>
      <c r="M393" s="71">
        <f>VLOOKUP(завтрак7,таб,5,FALSE)</f>
        <v>0</v>
      </c>
      <c r="N393" s="81">
        <f>VLOOKUP(завтрак8,таб,5,FALSE)</f>
        <v>0</v>
      </c>
      <c r="O393" s="34">
        <f>VLOOKUP(обед1,таб,5,FALSE)</f>
        <v>0</v>
      </c>
      <c r="P393" s="33">
        <f>VLOOKUP(обед2,таб,5,FALSE)</f>
        <v>0</v>
      </c>
      <c r="Q393" s="33">
        <f>VLOOKUP(обед3,таб,5,FALSE)</f>
        <v>0</v>
      </c>
      <c r="R393" s="33">
        <f>VLOOKUP(обед4,таб,5,FALSE)</f>
        <v>0</v>
      </c>
      <c r="S393" s="33">
        <f>VLOOKUP(обед5,таб,5,FALSE)</f>
        <v>0</v>
      </c>
      <c r="T393" s="33">
        <f>VLOOKUP(обед6,таб,5,FALSE)</f>
        <v>0</v>
      </c>
      <c r="U393" s="33">
        <f>VLOOKUP(обед7,таб,5,FALSE)</f>
        <v>0</v>
      </c>
      <c r="V393" s="87">
        <f>VLOOKUP(обед8,таб,5,FALSE)</f>
        <v>0</v>
      </c>
      <c r="W393" s="34">
        <f>VLOOKUP(полдник1,таб,5,FALSE)</f>
        <v>0</v>
      </c>
      <c r="X393" s="33"/>
      <c r="Y393" s="87">
        <f>VLOOKUP(полдник3,таб,5,FALSE)</f>
        <v>0</v>
      </c>
      <c r="Z393" s="34">
        <f>VLOOKUP(ужин1,таб,5,FALSE)</f>
        <v>0</v>
      </c>
      <c r="AA393" s="33">
        <f>VLOOKUP(ужин2,таб,5,FALSE)</f>
        <v>0</v>
      </c>
      <c r="AB393" s="33">
        <f>VLOOKUP(ужин3,таб,5,FALSE)</f>
        <v>0</v>
      </c>
      <c r="AC393" s="33">
        <f>VLOOKUP(ужин4,таб,5,FALSE)</f>
        <v>0</v>
      </c>
      <c r="AD393" s="33">
        <f>VLOOKUP(ужин5,таб,5,FALSE)</f>
        <v>0</v>
      </c>
      <c r="AE393" s="33">
        <f>VLOOKUP(ужин6,таб,5,FALSE)</f>
        <v>0</v>
      </c>
      <c r="AF393" s="33">
        <f>VLOOKUP(ужин7,таб,5,FALSE)</f>
        <v>0</v>
      </c>
      <c r="AG393" s="87">
        <f>VLOOKUP(ужин8,таб,5,FALSE)</f>
        <v>0</v>
      </c>
      <c r="AH393" s="253"/>
      <c r="AI393" s="139">
        <f>AK393/сред</f>
        <v>0</v>
      </c>
      <c r="AJ393" s="140"/>
      <c r="AK393" s="143">
        <f>SUM(G394:AG394)</f>
        <v>0</v>
      </c>
      <c r="AL393" s="143"/>
      <c r="AM393" s="131">
        <f>IF(AK393=0,0,Таблиця!BT485)</f>
        <v>0</v>
      </c>
      <c r="AN393" s="129">
        <f>AK393*AM393</f>
        <v>0</v>
      </c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</row>
    <row r="394" spans="1:66" ht="30.75" customHeight="1" hidden="1">
      <c r="A394" s="136"/>
      <c r="B394" s="137"/>
      <c r="C394" s="137"/>
      <c r="D394" s="137"/>
      <c r="E394" s="138"/>
      <c r="F394" s="107" t="s">
        <v>96</v>
      </c>
      <c r="G394" s="75">
        <f aca="true" t="shared" si="339" ref="G394:AG394">IF(G393=0,"",завтракл*G393/1000)</f>
      </c>
      <c r="H394" s="23">
        <f t="shared" si="339"/>
      </c>
      <c r="I394" s="23"/>
      <c r="J394" s="23">
        <f t="shared" si="339"/>
      </c>
      <c r="K394" s="23">
        <f t="shared" si="339"/>
      </c>
      <c r="L394" s="122">
        <f t="shared" si="339"/>
      </c>
      <c r="M394" s="75">
        <f t="shared" si="339"/>
      </c>
      <c r="N394" s="83">
        <f t="shared" si="339"/>
      </c>
      <c r="O394" s="75">
        <f t="shared" si="339"/>
      </c>
      <c r="P394" s="23">
        <f t="shared" si="339"/>
      </c>
      <c r="Q394" s="23">
        <f t="shared" si="339"/>
      </c>
      <c r="R394" s="23">
        <f t="shared" si="339"/>
      </c>
      <c r="S394" s="23">
        <f t="shared" si="339"/>
      </c>
      <c r="T394" s="23">
        <f t="shared" si="339"/>
      </c>
      <c r="U394" s="23">
        <f t="shared" si="339"/>
      </c>
      <c r="V394" s="83">
        <f t="shared" si="339"/>
      </c>
      <c r="W394" s="25">
        <f t="shared" si="339"/>
      </c>
      <c r="X394" s="23"/>
      <c r="Y394" s="83">
        <f t="shared" si="339"/>
      </c>
      <c r="Z394" s="25">
        <f t="shared" si="339"/>
      </c>
      <c r="AA394" s="23">
        <f t="shared" si="339"/>
      </c>
      <c r="AB394" s="23">
        <f t="shared" si="339"/>
      </c>
      <c r="AC394" s="23">
        <f t="shared" si="339"/>
      </c>
      <c r="AD394" s="23">
        <f t="shared" si="339"/>
      </c>
      <c r="AE394" s="23">
        <f t="shared" si="339"/>
      </c>
      <c r="AF394" s="23">
        <f t="shared" si="339"/>
      </c>
      <c r="AG394" s="83">
        <f t="shared" si="339"/>
      </c>
      <c r="AH394" s="254"/>
      <c r="AI394" s="139"/>
      <c r="AJ394" s="140"/>
      <c r="AK394" s="143"/>
      <c r="AL394" s="143"/>
      <c r="AM394" s="132"/>
      <c r="AN394" s="130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</row>
    <row r="395" spans="1:66" ht="30.75" customHeight="1" hidden="1">
      <c r="A395" s="133"/>
      <c r="B395" s="134"/>
      <c r="C395" s="134"/>
      <c r="D395" s="134"/>
      <c r="E395" s="135"/>
      <c r="F395" s="106" t="s">
        <v>95</v>
      </c>
      <c r="G395" s="71">
        <f>VLOOKUP(завтрак1,таб,5,FALSE)</f>
        <v>0</v>
      </c>
      <c r="H395" s="26">
        <f>VLOOKUP(завтрак2,таб,5,FALSE)</f>
        <v>0</v>
      </c>
      <c r="I395" s="26"/>
      <c r="J395" s="26">
        <f>VLOOKUP(завтрак4,таб,5,FALSE)</f>
        <v>0</v>
      </c>
      <c r="K395" s="26">
        <f>VLOOKUP(завтрак5,таб,5,FALSE)</f>
        <v>0</v>
      </c>
      <c r="L395" s="116">
        <f>VLOOKUP(завтрак6,таб,5,FALSE)</f>
        <v>0</v>
      </c>
      <c r="M395" s="71">
        <f>VLOOKUP(завтрак7,таб,5,FALSE)</f>
        <v>0</v>
      </c>
      <c r="N395" s="81">
        <f>VLOOKUP(завтрак8,таб,5,FALSE)</f>
        <v>0</v>
      </c>
      <c r="O395" s="34">
        <f>VLOOKUP(обед1,таб,5,FALSE)</f>
        <v>0</v>
      </c>
      <c r="P395" s="33">
        <f>VLOOKUP(обед2,таб,5,FALSE)</f>
        <v>0</v>
      </c>
      <c r="Q395" s="33">
        <f>VLOOKUP(обед3,таб,5,FALSE)</f>
        <v>0</v>
      </c>
      <c r="R395" s="33">
        <f>VLOOKUP(обед4,таб,5,FALSE)</f>
        <v>0</v>
      </c>
      <c r="S395" s="33">
        <f>VLOOKUP(обед5,таб,5,FALSE)</f>
        <v>0</v>
      </c>
      <c r="T395" s="33">
        <f>VLOOKUP(обед6,таб,5,FALSE)</f>
        <v>0</v>
      </c>
      <c r="U395" s="33">
        <f>VLOOKUP(обед7,таб,5,FALSE)</f>
        <v>0</v>
      </c>
      <c r="V395" s="87">
        <f>VLOOKUP(обед8,таб,5,FALSE)</f>
        <v>0</v>
      </c>
      <c r="W395" s="34">
        <f>VLOOKUP(полдник1,таб,5,FALSE)</f>
        <v>0</v>
      </c>
      <c r="X395" s="33"/>
      <c r="Y395" s="87">
        <f>VLOOKUP(полдник3,таб,5,FALSE)</f>
        <v>0</v>
      </c>
      <c r="Z395" s="34">
        <f>VLOOKUP(ужин1,таб,5,FALSE)</f>
        <v>0</v>
      </c>
      <c r="AA395" s="33">
        <f>VLOOKUP(ужин2,таб,5,FALSE)</f>
        <v>0</v>
      </c>
      <c r="AB395" s="33">
        <f>VLOOKUP(ужин3,таб,5,FALSE)</f>
        <v>0</v>
      </c>
      <c r="AC395" s="33">
        <f>VLOOKUP(ужин4,таб,5,FALSE)</f>
        <v>0</v>
      </c>
      <c r="AD395" s="33">
        <f>VLOOKUP(ужин5,таб,5,FALSE)</f>
        <v>0</v>
      </c>
      <c r="AE395" s="33">
        <f>VLOOKUP(ужин6,таб,5,FALSE)</f>
        <v>0</v>
      </c>
      <c r="AF395" s="33">
        <f>VLOOKUP(ужин7,таб,5,FALSE)</f>
        <v>0</v>
      </c>
      <c r="AG395" s="87">
        <f>VLOOKUP(ужин8,таб,5,FALSE)</f>
        <v>0</v>
      </c>
      <c r="AH395" s="253"/>
      <c r="AI395" s="139">
        <f>AK395/сред</f>
        <v>0</v>
      </c>
      <c r="AJ395" s="140"/>
      <c r="AK395" s="143">
        <f>SUM(G396:AG396)</f>
        <v>0</v>
      </c>
      <c r="AL395" s="143"/>
      <c r="AM395" s="131">
        <f>IF(AK395=0,0,Таблиця!BT487)</f>
        <v>0</v>
      </c>
      <c r="AN395" s="129">
        <f>AK395*AM395</f>
        <v>0</v>
      </c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</row>
    <row r="396" spans="1:66" ht="30.75" customHeight="1" hidden="1">
      <c r="A396" s="136"/>
      <c r="B396" s="137"/>
      <c r="C396" s="137"/>
      <c r="D396" s="137"/>
      <c r="E396" s="138"/>
      <c r="F396" s="107" t="s">
        <v>96</v>
      </c>
      <c r="G396" s="75">
        <f aca="true" t="shared" si="340" ref="G396:AG396">IF(G395=0,"",завтракл*G395/1000)</f>
      </c>
      <c r="H396" s="23">
        <f t="shared" si="340"/>
      </c>
      <c r="I396" s="23"/>
      <c r="J396" s="23">
        <f t="shared" si="340"/>
      </c>
      <c r="K396" s="23">
        <f t="shared" si="340"/>
      </c>
      <c r="L396" s="122">
        <f t="shared" si="340"/>
      </c>
      <c r="M396" s="75">
        <f t="shared" si="340"/>
      </c>
      <c r="N396" s="83">
        <f t="shared" si="340"/>
      </c>
      <c r="O396" s="75">
        <f t="shared" si="340"/>
      </c>
      <c r="P396" s="23">
        <f t="shared" si="340"/>
      </c>
      <c r="Q396" s="23">
        <f t="shared" si="340"/>
      </c>
      <c r="R396" s="23">
        <f t="shared" si="340"/>
      </c>
      <c r="S396" s="23">
        <f t="shared" si="340"/>
      </c>
      <c r="T396" s="23">
        <f t="shared" si="340"/>
      </c>
      <c r="U396" s="23">
        <f t="shared" si="340"/>
      </c>
      <c r="V396" s="83">
        <f t="shared" si="340"/>
      </c>
      <c r="W396" s="25">
        <f t="shared" si="340"/>
      </c>
      <c r="X396" s="23"/>
      <c r="Y396" s="83">
        <f t="shared" si="340"/>
      </c>
      <c r="Z396" s="25">
        <f t="shared" si="340"/>
      </c>
      <c r="AA396" s="23">
        <f t="shared" si="340"/>
      </c>
      <c r="AB396" s="23">
        <f t="shared" si="340"/>
      </c>
      <c r="AC396" s="23">
        <f t="shared" si="340"/>
      </c>
      <c r="AD396" s="23">
        <f t="shared" si="340"/>
      </c>
      <c r="AE396" s="23">
        <f t="shared" si="340"/>
      </c>
      <c r="AF396" s="23">
        <f t="shared" si="340"/>
      </c>
      <c r="AG396" s="83">
        <f t="shared" si="340"/>
      </c>
      <c r="AH396" s="254"/>
      <c r="AI396" s="139"/>
      <c r="AJ396" s="140"/>
      <c r="AK396" s="143"/>
      <c r="AL396" s="143"/>
      <c r="AM396" s="132"/>
      <c r="AN396" s="130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</row>
    <row r="397" spans="1:66" ht="30.75" customHeight="1" hidden="1">
      <c r="A397" s="133"/>
      <c r="B397" s="134"/>
      <c r="C397" s="134"/>
      <c r="D397" s="134"/>
      <c r="E397" s="135"/>
      <c r="F397" s="106" t="s">
        <v>95</v>
      </c>
      <c r="G397" s="71">
        <f>VLOOKUP(завтрак1,таб,5,FALSE)</f>
        <v>0</v>
      </c>
      <c r="H397" s="26">
        <f>VLOOKUP(завтрак2,таб,5,FALSE)</f>
        <v>0</v>
      </c>
      <c r="I397" s="26"/>
      <c r="J397" s="26">
        <f>VLOOKUP(завтрак4,таб,5,FALSE)</f>
        <v>0</v>
      </c>
      <c r="K397" s="26">
        <f>VLOOKUP(завтрак5,таб,5,FALSE)</f>
        <v>0</v>
      </c>
      <c r="L397" s="116">
        <f>VLOOKUP(завтрак6,таб,5,FALSE)</f>
        <v>0</v>
      </c>
      <c r="M397" s="71">
        <f>VLOOKUP(завтрак7,таб,5,FALSE)</f>
        <v>0</v>
      </c>
      <c r="N397" s="81">
        <f>VLOOKUP(завтрак8,таб,5,FALSE)</f>
        <v>0</v>
      </c>
      <c r="O397" s="34">
        <f>VLOOKUP(обед1,таб,5,FALSE)</f>
        <v>0</v>
      </c>
      <c r="P397" s="33">
        <f>VLOOKUP(обед2,таб,5,FALSE)</f>
        <v>0</v>
      </c>
      <c r="Q397" s="33">
        <f>VLOOKUP(обед3,таб,5,FALSE)</f>
        <v>0</v>
      </c>
      <c r="R397" s="33">
        <f>VLOOKUP(обед4,таб,5,FALSE)</f>
        <v>0</v>
      </c>
      <c r="S397" s="33">
        <f>VLOOKUP(обед5,таб,5,FALSE)</f>
        <v>0</v>
      </c>
      <c r="T397" s="33">
        <f>VLOOKUP(обед6,таб,5,FALSE)</f>
        <v>0</v>
      </c>
      <c r="U397" s="33">
        <f>VLOOKUP(обед7,таб,5,FALSE)</f>
        <v>0</v>
      </c>
      <c r="V397" s="87">
        <f>VLOOKUP(обед8,таб,5,FALSE)</f>
        <v>0</v>
      </c>
      <c r="W397" s="34">
        <f>VLOOKUP(полдник1,таб,5,FALSE)</f>
        <v>0</v>
      </c>
      <c r="X397" s="33"/>
      <c r="Y397" s="87">
        <f>VLOOKUP(полдник3,таб,5,FALSE)</f>
        <v>0</v>
      </c>
      <c r="Z397" s="34">
        <f>VLOOKUP(ужин1,таб,5,FALSE)</f>
        <v>0</v>
      </c>
      <c r="AA397" s="33">
        <f>VLOOKUP(ужин2,таб,5,FALSE)</f>
        <v>0</v>
      </c>
      <c r="AB397" s="33">
        <f>VLOOKUP(ужин3,таб,5,FALSE)</f>
        <v>0</v>
      </c>
      <c r="AC397" s="33">
        <f>VLOOKUP(ужин4,таб,5,FALSE)</f>
        <v>0</v>
      </c>
      <c r="AD397" s="33">
        <f>VLOOKUP(ужин5,таб,5,FALSE)</f>
        <v>0</v>
      </c>
      <c r="AE397" s="33">
        <f>VLOOKUP(ужин6,таб,5,FALSE)</f>
        <v>0</v>
      </c>
      <c r="AF397" s="33">
        <f>VLOOKUP(ужин7,таб,5,FALSE)</f>
        <v>0</v>
      </c>
      <c r="AG397" s="87">
        <f>VLOOKUP(ужин8,таб,5,FALSE)</f>
        <v>0</v>
      </c>
      <c r="AH397" s="253"/>
      <c r="AI397" s="139">
        <f>AK397/сред</f>
        <v>0</v>
      </c>
      <c r="AJ397" s="140"/>
      <c r="AK397" s="143">
        <f>SUM(G398:AG398)</f>
        <v>0</v>
      </c>
      <c r="AL397" s="143"/>
      <c r="AM397" s="131">
        <f>IF(AK397=0,0,Таблиця!BT489)</f>
        <v>0</v>
      </c>
      <c r="AN397" s="129">
        <f>AK397*AM397</f>
        <v>0</v>
      </c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</row>
    <row r="398" spans="1:66" ht="30.75" customHeight="1" hidden="1">
      <c r="A398" s="136"/>
      <c r="B398" s="137"/>
      <c r="C398" s="137"/>
      <c r="D398" s="137"/>
      <c r="E398" s="138"/>
      <c r="F398" s="107" t="s">
        <v>96</v>
      </c>
      <c r="G398" s="75">
        <f aca="true" t="shared" si="341" ref="G398:AG398">IF(G397=0,"",завтракл*G397/1000)</f>
      </c>
      <c r="H398" s="23">
        <f t="shared" si="341"/>
      </c>
      <c r="I398" s="23"/>
      <c r="J398" s="23">
        <f t="shared" si="341"/>
      </c>
      <c r="K398" s="23">
        <f t="shared" si="341"/>
      </c>
      <c r="L398" s="122">
        <f t="shared" si="341"/>
      </c>
      <c r="M398" s="75">
        <f t="shared" si="341"/>
      </c>
      <c r="N398" s="83">
        <f t="shared" si="341"/>
      </c>
      <c r="O398" s="75">
        <f t="shared" si="341"/>
      </c>
      <c r="P398" s="23">
        <f t="shared" si="341"/>
      </c>
      <c r="Q398" s="23">
        <f t="shared" si="341"/>
      </c>
      <c r="R398" s="23">
        <f t="shared" si="341"/>
      </c>
      <c r="S398" s="23">
        <f t="shared" si="341"/>
      </c>
      <c r="T398" s="23">
        <f t="shared" si="341"/>
      </c>
      <c r="U398" s="23">
        <f t="shared" si="341"/>
      </c>
      <c r="V398" s="83">
        <f t="shared" si="341"/>
      </c>
      <c r="W398" s="25">
        <f t="shared" si="341"/>
      </c>
      <c r="X398" s="23"/>
      <c r="Y398" s="83">
        <f t="shared" si="341"/>
      </c>
      <c r="Z398" s="25">
        <f t="shared" si="341"/>
      </c>
      <c r="AA398" s="23">
        <f t="shared" si="341"/>
      </c>
      <c r="AB398" s="23">
        <f t="shared" si="341"/>
      </c>
      <c r="AC398" s="23">
        <f t="shared" si="341"/>
      </c>
      <c r="AD398" s="23">
        <f t="shared" si="341"/>
      </c>
      <c r="AE398" s="23">
        <f t="shared" si="341"/>
      </c>
      <c r="AF398" s="23">
        <f t="shared" si="341"/>
      </c>
      <c r="AG398" s="83">
        <f t="shared" si="341"/>
      </c>
      <c r="AH398" s="254"/>
      <c r="AI398" s="139"/>
      <c r="AJ398" s="140"/>
      <c r="AK398" s="143"/>
      <c r="AL398" s="143"/>
      <c r="AM398" s="132"/>
      <c r="AN398" s="130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</row>
    <row r="399" spans="1:66" ht="30.75" customHeight="1" hidden="1">
      <c r="A399" s="133"/>
      <c r="B399" s="134"/>
      <c r="C399" s="134"/>
      <c r="D399" s="134"/>
      <c r="E399" s="135"/>
      <c r="F399" s="106" t="s">
        <v>95</v>
      </c>
      <c r="G399" s="71">
        <f>VLOOKUP(завтрак1,таб,5,FALSE)</f>
        <v>0</v>
      </c>
      <c r="H399" s="26">
        <f>VLOOKUP(завтрак2,таб,5,FALSE)</f>
        <v>0</v>
      </c>
      <c r="I399" s="26"/>
      <c r="J399" s="26">
        <f>VLOOKUP(завтрак4,таб,5,FALSE)</f>
        <v>0</v>
      </c>
      <c r="K399" s="26">
        <f>VLOOKUP(завтрак5,таб,5,FALSE)</f>
        <v>0</v>
      </c>
      <c r="L399" s="116">
        <f>VLOOKUP(завтрак6,таб,5,FALSE)</f>
        <v>0</v>
      </c>
      <c r="M399" s="71">
        <f>VLOOKUP(завтрак7,таб,5,FALSE)</f>
        <v>0</v>
      </c>
      <c r="N399" s="81">
        <f>VLOOKUP(завтрак8,таб,5,FALSE)</f>
        <v>0</v>
      </c>
      <c r="O399" s="34">
        <f>VLOOKUP(обед1,таб,5,FALSE)</f>
        <v>0</v>
      </c>
      <c r="P399" s="33">
        <f>VLOOKUP(обед2,таб,5,FALSE)</f>
        <v>0</v>
      </c>
      <c r="Q399" s="33">
        <f>VLOOKUP(обед3,таб,5,FALSE)</f>
        <v>0</v>
      </c>
      <c r="R399" s="33">
        <f>VLOOKUP(обед4,таб,5,FALSE)</f>
        <v>0</v>
      </c>
      <c r="S399" s="33">
        <f>VLOOKUP(обед5,таб,5,FALSE)</f>
        <v>0</v>
      </c>
      <c r="T399" s="33">
        <f>VLOOKUP(обед6,таб,5,FALSE)</f>
        <v>0</v>
      </c>
      <c r="U399" s="33">
        <f>VLOOKUP(обед7,таб,5,FALSE)</f>
        <v>0</v>
      </c>
      <c r="V399" s="87">
        <f>VLOOKUP(обед8,таб,5,FALSE)</f>
        <v>0</v>
      </c>
      <c r="W399" s="34">
        <f>VLOOKUP(полдник1,таб,5,FALSE)</f>
        <v>0</v>
      </c>
      <c r="X399" s="33"/>
      <c r="Y399" s="87">
        <f>VLOOKUP(полдник3,таб,5,FALSE)</f>
        <v>0</v>
      </c>
      <c r="Z399" s="34">
        <f>VLOOKUP(ужин1,таб,5,FALSE)</f>
        <v>0</v>
      </c>
      <c r="AA399" s="33">
        <f>VLOOKUP(ужин2,таб,5,FALSE)</f>
        <v>0</v>
      </c>
      <c r="AB399" s="33">
        <f>VLOOKUP(ужин3,таб,5,FALSE)</f>
        <v>0</v>
      </c>
      <c r="AC399" s="33">
        <f>VLOOKUP(ужин4,таб,5,FALSE)</f>
        <v>0</v>
      </c>
      <c r="AD399" s="33">
        <f>VLOOKUP(ужин5,таб,5,FALSE)</f>
        <v>0</v>
      </c>
      <c r="AE399" s="33">
        <f>VLOOKUP(ужин6,таб,5,FALSE)</f>
        <v>0</v>
      </c>
      <c r="AF399" s="33">
        <f>VLOOKUP(ужин7,таб,5,FALSE)</f>
        <v>0</v>
      </c>
      <c r="AG399" s="87">
        <f>VLOOKUP(ужин8,таб,5,FALSE)</f>
        <v>0</v>
      </c>
      <c r="AH399" s="253"/>
      <c r="AI399" s="139">
        <f>AK399/сред</f>
        <v>0</v>
      </c>
      <c r="AJ399" s="140"/>
      <c r="AK399" s="143">
        <f>SUM(G400:AG400)</f>
        <v>0</v>
      </c>
      <c r="AL399" s="143"/>
      <c r="AM399" s="131">
        <f>IF(AK399=0,0,Таблиця!BT491)</f>
        <v>0</v>
      </c>
      <c r="AN399" s="129">
        <f>AK399*AM399</f>
        <v>0</v>
      </c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</row>
    <row r="400" spans="1:66" ht="30.75" customHeight="1" hidden="1">
      <c r="A400" s="136"/>
      <c r="B400" s="137"/>
      <c r="C400" s="137"/>
      <c r="D400" s="137"/>
      <c r="E400" s="138"/>
      <c r="F400" s="107" t="s">
        <v>96</v>
      </c>
      <c r="G400" s="75">
        <f aca="true" t="shared" si="342" ref="G400:AG400">IF(G399=0,"",завтракл*G399/1000)</f>
      </c>
      <c r="H400" s="23">
        <f t="shared" si="342"/>
      </c>
      <c r="I400" s="23"/>
      <c r="J400" s="23">
        <f t="shared" si="342"/>
      </c>
      <c r="K400" s="23">
        <f t="shared" si="342"/>
      </c>
      <c r="L400" s="122">
        <f t="shared" si="342"/>
      </c>
      <c r="M400" s="75">
        <f t="shared" si="342"/>
      </c>
      <c r="N400" s="83">
        <f t="shared" si="342"/>
      </c>
      <c r="O400" s="75">
        <f t="shared" si="342"/>
      </c>
      <c r="P400" s="23">
        <f t="shared" si="342"/>
      </c>
      <c r="Q400" s="23">
        <f t="shared" si="342"/>
      </c>
      <c r="R400" s="23">
        <f t="shared" si="342"/>
      </c>
      <c r="S400" s="23">
        <f t="shared" si="342"/>
      </c>
      <c r="T400" s="23">
        <f t="shared" si="342"/>
      </c>
      <c r="U400" s="23">
        <f t="shared" si="342"/>
      </c>
      <c r="V400" s="83">
        <f t="shared" si="342"/>
      </c>
      <c r="W400" s="25">
        <f t="shared" si="342"/>
      </c>
      <c r="X400" s="23"/>
      <c r="Y400" s="83">
        <f t="shared" si="342"/>
      </c>
      <c r="Z400" s="25">
        <f t="shared" si="342"/>
      </c>
      <c r="AA400" s="23">
        <f t="shared" si="342"/>
      </c>
      <c r="AB400" s="23">
        <f t="shared" si="342"/>
      </c>
      <c r="AC400" s="23">
        <f t="shared" si="342"/>
      </c>
      <c r="AD400" s="23">
        <f t="shared" si="342"/>
      </c>
      <c r="AE400" s="23">
        <f t="shared" si="342"/>
      </c>
      <c r="AF400" s="23">
        <f t="shared" si="342"/>
      </c>
      <c r="AG400" s="83">
        <f t="shared" si="342"/>
      </c>
      <c r="AH400" s="254"/>
      <c r="AI400" s="139"/>
      <c r="AJ400" s="140"/>
      <c r="AK400" s="143"/>
      <c r="AL400" s="143"/>
      <c r="AM400" s="132"/>
      <c r="AN400" s="130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</row>
    <row r="401" spans="1:66" ht="30.75" customHeight="1" hidden="1">
      <c r="A401" s="133"/>
      <c r="B401" s="134"/>
      <c r="C401" s="134"/>
      <c r="D401" s="134"/>
      <c r="E401" s="135"/>
      <c r="F401" s="106" t="s">
        <v>95</v>
      </c>
      <c r="G401" s="71">
        <f>VLOOKUP(завтрак1,таб,5,FALSE)</f>
        <v>0</v>
      </c>
      <c r="H401" s="26">
        <f>VLOOKUP(завтрак2,таб,5,FALSE)</f>
        <v>0</v>
      </c>
      <c r="I401" s="26"/>
      <c r="J401" s="26">
        <f>VLOOKUP(завтрак4,таб,5,FALSE)</f>
        <v>0</v>
      </c>
      <c r="K401" s="26">
        <f>VLOOKUP(завтрак5,таб,5,FALSE)</f>
        <v>0</v>
      </c>
      <c r="L401" s="116">
        <f>VLOOKUP(завтрак6,таб,5,FALSE)</f>
        <v>0</v>
      </c>
      <c r="M401" s="71">
        <f>VLOOKUP(завтрак7,таб,5,FALSE)</f>
        <v>0</v>
      </c>
      <c r="N401" s="81">
        <f>VLOOKUP(завтрак8,таб,5,FALSE)</f>
        <v>0</v>
      </c>
      <c r="O401" s="34">
        <f>VLOOKUP(обед1,таб,5,FALSE)</f>
        <v>0</v>
      </c>
      <c r="P401" s="33">
        <f>VLOOKUP(обед2,таб,5,FALSE)</f>
        <v>0</v>
      </c>
      <c r="Q401" s="33">
        <f>VLOOKUP(обед3,таб,5,FALSE)</f>
        <v>0</v>
      </c>
      <c r="R401" s="33">
        <f>VLOOKUP(обед4,таб,5,FALSE)</f>
        <v>0</v>
      </c>
      <c r="S401" s="33">
        <f>VLOOKUP(обед5,таб,5,FALSE)</f>
        <v>0</v>
      </c>
      <c r="T401" s="33">
        <f>VLOOKUP(обед6,таб,5,FALSE)</f>
        <v>0</v>
      </c>
      <c r="U401" s="33">
        <f>VLOOKUP(обед7,таб,5,FALSE)</f>
        <v>0</v>
      </c>
      <c r="V401" s="87">
        <f>VLOOKUP(обед8,таб,5,FALSE)</f>
        <v>0</v>
      </c>
      <c r="W401" s="34">
        <f>VLOOKUP(полдник1,таб,5,FALSE)</f>
        <v>0</v>
      </c>
      <c r="X401" s="33"/>
      <c r="Y401" s="87">
        <f>VLOOKUP(полдник3,таб,5,FALSE)</f>
        <v>0</v>
      </c>
      <c r="Z401" s="34">
        <f>VLOOKUP(ужин1,таб,5,FALSE)</f>
        <v>0</v>
      </c>
      <c r="AA401" s="33">
        <f>VLOOKUP(ужин2,таб,5,FALSE)</f>
        <v>0</v>
      </c>
      <c r="AB401" s="33">
        <f>VLOOKUP(ужин3,таб,5,FALSE)</f>
        <v>0</v>
      </c>
      <c r="AC401" s="33">
        <f>VLOOKUP(ужин4,таб,5,FALSE)</f>
        <v>0</v>
      </c>
      <c r="AD401" s="33">
        <f>VLOOKUP(ужин5,таб,5,FALSE)</f>
        <v>0</v>
      </c>
      <c r="AE401" s="33">
        <f>VLOOKUP(ужин6,таб,5,FALSE)</f>
        <v>0</v>
      </c>
      <c r="AF401" s="33">
        <f>VLOOKUP(ужин7,таб,5,FALSE)</f>
        <v>0</v>
      </c>
      <c r="AG401" s="87">
        <f>VLOOKUP(ужин8,таб,5,FALSE)</f>
        <v>0</v>
      </c>
      <c r="AH401" s="253"/>
      <c r="AI401" s="139">
        <f>AK401/сред</f>
        <v>0</v>
      </c>
      <c r="AJ401" s="140"/>
      <c r="AK401" s="143">
        <f>SUM(G402:AG402)</f>
        <v>0</v>
      </c>
      <c r="AL401" s="143"/>
      <c r="AM401" s="131">
        <f>IF(AK401=0,0,Таблиця!BT493)</f>
        <v>0</v>
      </c>
      <c r="AN401" s="129">
        <f>AK401*AM401</f>
        <v>0</v>
      </c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</row>
    <row r="402" spans="1:66" ht="30.75" customHeight="1" hidden="1">
      <c r="A402" s="136"/>
      <c r="B402" s="137"/>
      <c r="C402" s="137"/>
      <c r="D402" s="137"/>
      <c r="E402" s="138"/>
      <c r="F402" s="107" t="s">
        <v>96</v>
      </c>
      <c r="G402" s="75">
        <f aca="true" t="shared" si="343" ref="G402:AG402">IF(G401=0,"",завтракл*G401/1000)</f>
      </c>
      <c r="H402" s="23">
        <f t="shared" si="343"/>
      </c>
      <c r="I402" s="23"/>
      <c r="J402" s="23">
        <f t="shared" si="343"/>
      </c>
      <c r="K402" s="23">
        <f t="shared" si="343"/>
      </c>
      <c r="L402" s="122">
        <f t="shared" si="343"/>
      </c>
      <c r="M402" s="75">
        <f t="shared" si="343"/>
      </c>
      <c r="N402" s="83">
        <f t="shared" si="343"/>
      </c>
      <c r="O402" s="75">
        <f t="shared" si="343"/>
      </c>
      <c r="P402" s="23">
        <f t="shared" si="343"/>
      </c>
      <c r="Q402" s="23">
        <f t="shared" si="343"/>
      </c>
      <c r="R402" s="23">
        <f t="shared" si="343"/>
      </c>
      <c r="S402" s="23">
        <f t="shared" si="343"/>
      </c>
      <c r="T402" s="23">
        <f t="shared" si="343"/>
      </c>
      <c r="U402" s="23">
        <f t="shared" si="343"/>
      </c>
      <c r="V402" s="83">
        <f t="shared" si="343"/>
      </c>
      <c r="W402" s="25">
        <f t="shared" si="343"/>
      </c>
      <c r="X402" s="23"/>
      <c r="Y402" s="83">
        <f t="shared" si="343"/>
      </c>
      <c r="Z402" s="25">
        <f t="shared" si="343"/>
      </c>
      <c r="AA402" s="23">
        <f t="shared" si="343"/>
      </c>
      <c r="AB402" s="23">
        <f t="shared" si="343"/>
      </c>
      <c r="AC402" s="23">
        <f t="shared" si="343"/>
      </c>
      <c r="AD402" s="23">
        <f t="shared" si="343"/>
      </c>
      <c r="AE402" s="23">
        <f t="shared" si="343"/>
      </c>
      <c r="AF402" s="23">
        <f t="shared" si="343"/>
      </c>
      <c r="AG402" s="83">
        <f t="shared" si="343"/>
      </c>
      <c r="AH402" s="254"/>
      <c r="AI402" s="139"/>
      <c r="AJ402" s="140"/>
      <c r="AK402" s="143"/>
      <c r="AL402" s="143"/>
      <c r="AM402" s="132"/>
      <c r="AN402" s="130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</row>
    <row r="403" spans="1:66" ht="30.75" customHeight="1" hidden="1">
      <c r="A403" s="133"/>
      <c r="B403" s="134"/>
      <c r="C403" s="134"/>
      <c r="D403" s="134"/>
      <c r="E403" s="135"/>
      <c r="F403" s="106" t="s">
        <v>95</v>
      </c>
      <c r="G403" s="71">
        <f>VLOOKUP(завтрак1,таб,5,FALSE)</f>
        <v>0</v>
      </c>
      <c r="H403" s="26">
        <f>VLOOKUP(завтрак2,таб,5,FALSE)</f>
        <v>0</v>
      </c>
      <c r="I403" s="26"/>
      <c r="J403" s="26">
        <f>VLOOKUP(завтрак4,таб,5,FALSE)</f>
        <v>0</v>
      </c>
      <c r="K403" s="26">
        <f>VLOOKUP(завтрак5,таб,5,FALSE)</f>
        <v>0</v>
      </c>
      <c r="L403" s="116">
        <f>VLOOKUP(завтрак6,таб,5,FALSE)</f>
        <v>0</v>
      </c>
      <c r="M403" s="71">
        <f>VLOOKUP(завтрак7,таб,5,FALSE)</f>
        <v>0</v>
      </c>
      <c r="N403" s="81">
        <f>VLOOKUP(завтрак8,таб,5,FALSE)</f>
        <v>0</v>
      </c>
      <c r="O403" s="34">
        <f>VLOOKUP(обед1,таб,5,FALSE)</f>
        <v>0</v>
      </c>
      <c r="P403" s="33">
        <f>VLOOKUP(обед2,таб,5,FALSE)</f>
        <v>0</v>
      </c>
      <c r="Q403" s="33">
        <f>VLOOKUP(обед3,таб,5,FALSE)</f>
        <v>0</v>
      </c>
      <c r="R403" s="33">
        <f>VLOOKUP(обед4,таб,5,FALSE)</f>
        <v>0</v>
      </c>
      <c r="S403" s="33">
        <f>VLOOKUP(обед5,таб,5,FALSE)</f>
        <v>0</v>
      </c>
      <c r="T403" s="33">
        <f>VLOOKUP(обед6,таб,5,FALSE)</f>
        <v>0</v>
      </c>
      <c r="U403" s="33">
        <f>VLOOKUP(обед7,таб,5,FALSE)</f>
        <v>0</v>
      </c>
      <c r="V403" s="87">
        <f>VLOOKUP(обед8,таб,5,FALSE)</f>
        <v>0</v>
      </c>
      <c r="W403" s="34">
        <f>VLOOKUP(полдник1,таб,5,FALSE)</f>
        <v>0</v>
      </c>
      <c r="X403" s="33"/>
      <c r="Y403" s="87">
        <f>VLOOKUP(полдник3,таб,5,FALSE)</f>
        <v>0</v>
      </c>
      <c r="Z403" s="34">
        <f>VLOOKUP(ужин1,таб,5,FALSE)</f>
        <v>0</v>
      </c>
      <c r="AA403" s="33">
        <f>VLOOKUP(ужин2,таб,5,FALSE)</f>
        <v>0</v>
      </c>
      <c r="AB403" s="33">
        <f>VLOOKUP(ужин3,таб,5,FALSE)</f>
        <v>0</v>
      </c>
      <c r="AC403" s="33">
        <f>VLOOKUP(ужин4,таб,5,FALSE)</f>
        <v>0</v>
      </c>
      <c r="AD403" s="33">
        <f>VLOOKUP(ужин5,таб,5,FALSE)</f>
        <v>0</v>
      </c>
      <c r="AE403" s="33">
        <f>VLOOKUP(ужин6,таб,5,FALSE)</f>
        <v>0</v>
      </c>
      <c r="AF403" s="33">
        <f>VLOOKUP(ужин7,таб,5,FALSE)</f>
        <v>0</v>
      </c>
      <c r="AG403" s="87">
        <f>VLOOKUP(ужин8,таб,5,FALSE)</f>
        <v>0</v>
      </c>
      <c r="AH403" s="253"/>
      <c r="AI403" s="139">
        <f>AK403/сред</f>
        <v>0</v>
      </c>
      <c r="AJ403" s="140"/>
      <c r="AK403" s="143">
        <f>SUM(G404:AG404)</f>
        <v>0</v>
      </c>
      <c r="AL403" s="143"/>
      <c r="AM403" s="131">
        <f>IF(AK403=0,0,Таблиця!BT495)</f>
        <v>0</v>
      </c>
      <c r="AN403" s="129">
        <f>AK403*AM403</f>
        <v>0</v>
      </c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</row>
    <row r="404" spans="1:66" ht="30.75" customHeight="1" hidden="1">
      <c r="A404" s="136"/>
      <c r="B404" s="137"/>
      <c r="C404" s="137"/>
      <c r="D404" s="137"/>
      <c r="E404" s="138"/>
      <c r="F404" s="107" t="s">
        <v>96</v>
      </c>
      <c r="G404" s="75">
        <f aca="true" t="shared" si="344" ref="G404:AG404">IF(G403=0,"",завтракл*G403/1000)</f>
      </c>
      <c r="H404" s="23">
        <f t="shared" si="344"/>
      </c>
      <c r="I404" s="23"/>
      <c r="J404" s="23">
        <f t="shared" si="344"/>
      </c>
      <c r="K404" s="23">
        <f t="shared" si="344"/>
      </c>
      <c r="L404" s="122">
        <f t="shared" si="344"/>
      </c>
      <c r="M404" s="75">
        <f t="shared" si="344"/>
      </c>
      <c r="N404" s="83">
        <f t="shared" si="344"/>
      </c>
      <c r="O404" s="75">
        <f t="shared" si="344"/>
      </c>
      <c r="P404" s="23">
        <f t="shared" si="344"/>
      </c>
      <c r="Q404" s="23">
        <f t="shared" si="344"/>
      </c>
      <c r="R404" s="23">
        <f t="shared" si="344"/>
      </c>
      <c r="S404" s="23">
        <f t="shared" si="344"/>
      </c>
      <c r="T404" s="23">
        <f t="shared" si="344"/>
      </c>
      <c r="U404" s="23">
        <f t="shared" si="344"/>
      </c>
      <c r="V404" s="83">
        <f t="shared" si="344"/>
      </c>
      <c r="W404" s="25">
        <f t="shared" si="344"/>
      </c>
      <c r="X404" s="23"/>
      <c r="Y404" s="83">
        <f t="shared" si="344"/>
      </c>
      <c r="Z404" s="25">
        <f t="shared" si="344"/>
      </c>
      <c r="AA404" s="23">
        <f t="shared" si="344"/>
      </c>
      <c r="AB404" s="23">
        <f t="shared" si="344"/>
      </c>
      <c r="AC404" s="23">
        <f t="shared" si="344"/>
      </c>
      <c r="AD404" s="23">
        <f t="shared" si="344"/>
      </c>
      <c r="AE404" s="23">
        <f t="shared" si="344"/>
      </c>
      <c r="AF404" s="23">
        <f t="shared" si="344"/>
      </c>
      <c r="AG404" s="83">
        <f t="shared" si="344"/>
      </c>
      <c r="AH404" s="254"/>
      <c r="AI404" s="139"/>
      <c r="AJ404" s="140"/>
      <c r="AK404" s="143"/>
      <c r="AL404" s="143"/>
      <c r="AM404" s="132"/>
      <c r="AN404" s="130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</row>
    <row r="405" spans="1:66" ht="30.75" customHeight="1" hidden="1">
      <c r="A405" s="133"/>
      <c r="B405" s="134"/>
      <c r="C405" s="134"/>
      <c r="D405" s="134"/>
      <c r="E405" s="135"/>
      <c r="F405" s="106" t="s">
        <v>95</v>
      </c>
      <c r="G405" s="71">
        <f>VLOOKUP(завтрак1,таб,5,FALSE)</f>
        <v>0</v>
      </c>
      <c r="H405" s="26">
        <f>VLOOKUP(завтрак2,таб,5,FALSE)</f>
        <v>0</v>
      </c>
      <c r="I405" s="26"/>
      <c r="J405" s="26">
        <f>VLOOKUP(завтрак4,таб,5,FALSE)</f>
        <v>0</v>
      </c>
      <c r="K405" s="26">
        <f>VLOOKUP(завтрак5,таб,5,FALSE)</f>
        <v>0</v>
      </c>
      <c r="L405" s="116">
        <f>VLOOKUP(завтрак6,таб,5,FALSE)</f>
        <v>0</v>
      </c>
      <c r="M405" s="71">
        <f>VLOOKUP(завтрак7,таб,5,FALSE)</f>
        <v>0</v>
      </c>
      <c r="N405" s="81">
        <f>VLOOKUP(завтрак8,таб,5,FALSE)</f>
        <v>0</v>
      </c>
      <c r="O405" s="34">
        <f>VLOOKUP(обед1,таб,5,FALSE)</f>
        <v>0</v>
      </c>
      <c r="P405" s="33">
        <f>VLOOKUP(обед2,таб,5,FALSE)</f>
        <v>0</v>
      </c>
      <c r="Q405" s="33">
        <f>VLOOKUP(обед3,таб,5,FALSE)</f>
        <v>0</v>
      </c>
      <c r="R405" s="33">
        <f>VLOOKUP(обед4,таб,5,FALSE)</f>
        <v>0</v>
      </c>
      <c r="S405" s="33">
        <f>VLOOKUP(обед5,таб,5,FALSE)</f>
        <v>0</v>
      </c>
      <c r="T405" s="33">
        <f>VLOOKUP(обед6,таб,5,FALSE)</f>
        <v>0</v>
      </c>
      <c r="U405" s="33">
        <f>VLOOKUP(обед7,таб,5,FALSE)</f>
        <v>0</v>
      </c>
      <c r="V405" s="87">
        <f>VLOOKUP(обед8,таб,5,FALSE)</f>
        <v>0</v>
      </c>
      <c r="W405" s="34">
        <f>VLOOKUP(полдник1,таб,5,FALSE)</f>
        <v>0</v>
      </c>
      <c r="X405" s="33"/>
      <c r="Y405" s="87">
        <f>VLOOKUP(полдник3,таб,5,FALSE)</f>
        <v>0</v>
      </c>
      <c r="Z405" s="34">
        <f>VLOOKUP(ужин1,таб,5,FALSE)</f>
        <v>0</v>
      </c>
      <c r="AA405" s="33">
        <f>VLOOKUP(ужин2,таб,5,FALSE)</f>
        <v>0</v>
      </c>
      <c r="AB405" s="33">
        <f>VLOOKUP(ужин3,таб,5,FALSE)</f>
        <v>0</v>
      </c>
      <c r="AC405" s="33">
        <f>VLOOKUP(ужин4,таб,5,FALSE)</f>
        <v>0</v>
      </c>
      <c r="AD405" s="33">
        <f>VLOOKUP(ужин5,таб,5,FALSE)</f>
        <v>0</v>
      </c>
      <c r="AE405" s="33">
        <f>VLOOKUP(ужин6,таб,5,FALSE)</f>
        <v>0</v>
      </c>
      <c r="AF405" s="33">
        <f>VLOOKUP(ужин7,таб,5,FALSE)</f>
        <v>0</v>
      </c>
      <c r="AG405" s="87">
        <f>VLOOKUP(ужин8,таб,5,FALSE)</f>
        <v>0</v>
      </c>
      <c r="AH405" s="253"/>
      <c r="AI405" s="139">
        <f>AK405/сред</f>
        <v>0</v>
      </c>
      <c r="AJ405" s="140"/>
      <c r="AK405" s="143">
        <f>SUM(G406:AG406)</f>
        <v>0</v>
      </c>
      <c r="AL405" s="143"/>
      <c r="AM405" s="131">
        <f>IF(AK405=0,0,Таблиця!BT497)</f>
        <v>0</v>
      </c>
      <c r="AN405" s="129">
        <f>AK405*AM405</f>
        <v>0</v>
      </c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</row>
    <row r="406" spans="1:66" ht="30.75" customHeight="1" hidden="1">
      <c r="A406" s="136"/>
      <c r="B406" s="137"/>
      <c r="C406" s="137"/>
      <c r="D406" s="137"/>
      <c r="E406" s="138"/>
      <c r="F406" s="107" t="s">
        <v>96</v>
      </c>
      <c r="G406" s="75">
        <f aca="true" t="shared" si="345" ref="G406:AG406">IF(G405=0,"",завтракл*G405/1000)</f>
      </c>
      <c r="H406" s="23">
        <f t="shared" si="345"/>
      </c>
      <c r="I406" s="23"/>
      <c r="J406" s="23">
        <f t="shared" si="345"/>
      </c>
      <c r="K406" s="23">
        <f t="shared" si="345"/>
      </c>
      <c r="L406" s="122">
        <f t="shared" si="345"/>
      </c>
      <c r="M406" s="75">
        <f t="shared" si="345"/>
      </c>
      <c r="N406" s="83">
        <f t="shared" si="345"/>
      </c>
      <c r="O406" s="75">
        <f t="shared" si="345"/>
      </c>
      <c r="P406" s="23">
        <f t="shared" si="345"/>
      </c>
      <c r="Q406" s="23">
        <f t="shared" si="345"/>
      </c>
      <c r="R406" s="23">
        <f t="shared" si="345"/>
      </c>
      <c r="S406" s="23">
        <f t="shared" si="345"/>
      </c>
      <c r="T406" s="23">
        <f t="shared" si="345"/>
      </c>
      <c r="U406" s="23">
        <f t="shared" si="345"/>
      </c>
      <c r="V406" s="83">
        <f t="shared" si="345"/>
      </c>
      <c r="W406" s="25">
        <f t="shared" si="345"/>
      </c>
      <c r="X406" s="23"/>
      <c r="Y406" s="83">
        <f t="shared" si="345"/>
      </c>
      <c r="Z406" s="25">
        <f t="shared" si="345"/>
      </c>
      <c r="AA406" s="23">
        <f t="shared" si="345"/>
      </c>
      <c r="AB406" s="23">
        <f t="shared" si="345"/>
      </c>
      <c r="AC406" s="23">
        <f t="shared" si="345"/>
      </c>
      <c r="AD406" s="23">
        <f t="shared" si="345"/>
      </c>
      <c r="AE406" s="23">
        <f t="shared" si="345"/>
      </c>
      <c r="AF406" s="23">
        <f t="shared" si="345"/>
      </c>
      <c r="AG406" s="83">
        <f t="shared" si="345"/>
      </c>
      <c r="AH406" s="254"/>
      <c r="AI406" s="139"/>
      <c r="AJ406" s="140"/>
      <c r="AK406" s="143"/>
      <c r="AL406" s="143"/>
      <c r="AM406" s="132"/>
      <c r="AN406" s="130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</row>
    <row r="407" spans="1:66" ht="30.75" customHeight="1" hidden="1">
      <c r="A407" s="133"/>
      <c r="B407" s="134"/>
      <c r="C407" s="134"/>
      <c r="D407" s="134"/>
      <c r="E407" s="135"/>
      <c r="F407" s="106" t="s">
        <v>95</v>
      </c>
      <c r="G407" s="71">
        <f>VLOOKUP(завтрак1,таб,5,FALSE)</f>
        <v>0</v>
      </c>
      <c r="H407" s="26">
        <f>VLOOKUP(завтрак2,таб,5,FALSE)</f>
        <v>0</v>
      </c>
      <c r="I407" s="26"/>
      <c r="J407" s="26">
        <f>VLOOKUP(завтрак4,таб,5,FALSE)</f>
        <v>0</v>
      </c>
      <c r="K407" s="26">
        <f>VLOOKUP(завтрак5,таб,5,FALSE)</f>
        <v>0</v>
      </c>
      <c r="L407" s="116">
        <f>VLOOKUP(завтрак6,таб,5,FALSE)</f>
        <v>0</v>
      </c>
      <c r="M407" s="71">
        <f>VLOOKUP(завтрак7,таб,5,FALSE)</f>
        <v>0</v>
      </c>
      <c r="N407" s="81">
        <f>VLOOKUP(завтрак8,таб,5,FALSE)</f>
        <v>0</v>
      </c>
      <c r="O407" s="34">
        <f>VLOOKUP(обед1,таб,5,FALSE)</f>
        <v>0</v>
      </c>
      <c r="P407" s="33">
        <f>VLOOKUP(обед2,таб,5,FALSE)</f>
        <v>0</v>
      </c>
      <c r="Q407" s="33">
        <f>VLOOKUP(обед3,таб,5,FALSE)</f>
        <v>0</v>
      </c>
      <c r="R407" s="33">
        <f>VLOOKUP(обед4,таб,5,FALSE)</f>
        <v>0</v>
      </c>
      <c r="S407" s="33">
        <f>VLOOKUP(обед5,таб,5,FALSE)</f>
        <v>0</v>
      </c>
      <c r="T407" s="33">
        <f>VLOOKUP(обед6,таб,5,FALSE)</f>
        <v>0</v>
      </c>
      <c r="U407" s="33">
        <f>VLOOKUP(обед7,таб,5,FALSE)</f>
        <v>0</v>
      </c>
      <c r="V407" s="87">
        <f>VLOOKUP(обед8,таб,5,FALSE)</f>
        <v>0</v>
      </c>
      <c r="W407" s="34">
        <f>VLOOKUP(полдник1,таб,5,FALSE)</f>
        <v>0</v>
      </c>
      <c r="X407" s="33"/>
      <c r="Y407" s="87">
        <f>VLOOKUP(полдник3,таб,5,FALSE)</f>
        <v>0</v>
      </c>
      <c r="Z407" s="34">
        <f>VLOOKUP(ужин1,таб,5,FALSE)</f>
        <v>0</v>
      </c>
      <c r="AA407" s="33">
        <f>VLOOKUP(ужин2,таб,5,FALSE)</f>
        <v>0</v>
      </c>
      <c r="AB407" s="33">
        <f>VLOOKUP(ужин3,таб,5,FALSE)</f>
        <v>0</v>
      </c>
      <c r="AC407" s="33">
        <f>VLOOKUP(ужин4,таб,5,FALSE)</f>
        <v>0</v>
      </c>
      <c r="AD407" s="33">
        <f>VLOOKUP(ужин5,таб,5,FALSE)</f>
        <v>0</v>
      </c>
      <c r="AE407" s="33">
        <f>VLOOKUP(ужин6,таб,5,FALSE)</f>
        <v>0</v>
      </c>
      <c r="AF407" s="33">
        <f>VLOOKUP(ужин7,таб,5,FALSE)</f>
        <v>0</v>
      </c>
      <c r="AG407" s="87">
        <f>VLOOKUP(ужин8,таб,5,FALSE)</f>
        <v>0</v>
      </c>
      <c r="AH407" s="253"/>
      <c r="AI407" s="139">
        <f>AK407/сред</f>
        <v>0</v>
      </c>
      <c r="AJ407" s="140"/>
      <c r="AK407" s="143">
        <f>SUM(G408:AG408)</f>
        <v>0</v>
      </c>
      <c r="AL407" s="143"/>
      <c r="AM407" s="131">
        <f>IF(AK407=0,0,Таблиця!BT499)</f>
        <v>0</v>
      </c>
      <c r="AN407" s="129">
        <f>AK407*AM407</f>
        <v>0</v>
      </c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</row>
    <row r="408" spans="1:66" ht="30.75" customHeight="1" hidden="1">
      <c r="A408" s="136"/>
      <c r="B408" s="137"/>
      <c r="C408" s="137"/>
      <c r="D408" s="137"/>
      <c r="E408" s="138"/>
      <c r="F408" s="107" t="s">
        <v>96</v>
      </c>
      <c r="G408" s="75">
        <f aca="true" t="shared" si="346" ref="G408:AG408">IF(G407=0,"",завтракл*G407/1000)</f>
      </c>
      <c r="H408" s="23">
        <f t="shared" si="346"/>
      </c>
      <c r="I408" s="23"/>
      <c r="J408" s="23">
        <f t="shared" si="346"/>
      </c>
      <c r="K408" s="23">
        <f t="shared" si="346"/>
      </c>
      <c r="L408" s="122">
        <f t="shared" si="346"/>
      </c>
      <c r="M408" s="75">
        <f t="shared" si="346"/>
      </c>
      <c r="N408" s="83">
        <f t="shared" si="346"/>
      </c>
      <c r="O408" s="75">
        <f t="shared" si="346"/>
      </c>
      <c r="P408" s="23">
        <f t="shared" si="346"/>
      </c>
      <c r="Q408" s="23">
        <f t="shared" si="346"/>
      </c>
      <c r="R408" s="23">
        <f t="shared" si="346"/>
      </c>
      <c r="S408" s="23">
        <f t="shared" si="346"/>
      </c>
      <c r="T408" s="23">
        <f t="shared" si="346"/>
      </c>
      <c r="U408" s="23">
        <f t="shared" si="346"/>
      </c>
      <c r="V408" s="83">
        <f t="shared" si="346"/>
      </c>
      <c r="W408" s="25">
        <f t="shared" si="346"/>
      </c>
      <c r="X408" s="23"/>
      <c r="Y408" s="83">
        <f t="shared" si="346"/>
      </c>
      <c r="Z408" s="25">
        <f t="shared" si="346"/>
      </c>
      <c r="AA408" s="23">
        <f t="shared" si="346"/>
      </c>
      <c r="AB408" s="23">
        <f t="shared" si="346"/>
      </c>
      <c r="AC408" s="23">
        <f t="shared" si="346"/>
      </c>
      <c r="AD408" s="23">
        <f t="shared" si="346"/>
      </c>
      <c r="AE408" s="23">
        <f t="shared" si="346"/>
      </c>
      <c r="AF408" s="23">
        <f t="shared" si="346"/>
      </c>
      <c r="AG408" s="83">
        <f t="shared" si="346"/>
      </c>
      <c r="AH408" s="254"/>
      <c r="AI408" s="139"/>
      <c r="AJ408" s="140"/>
      <c r="AK408" s="143"/>
      <c r="AL408" s="143"/>
      <c r="AM408" s="132"/>
      <c r="AN408" s="130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</row>
    <row r="409" spans="1:66" ht="30.75" customHeight="1" hidden="1">
      <c r="A409" s="133"/>
      <c r="B409" s="134"/>
      <c r="C409" s="134"/>
      <c r="D409" s="134"/>
      <c r="E409" s="135"/>
      <c r="F409" s="106" t="s">
        <v>95</v>
      </c>
      <c r="G409" s="71">
        <f>VLOOKUP(завтрак1,таб,5,FALSE)</f>
        <v>0</v>
      </c>
      <c r="H409" s="26">
        <f>VLOOKUP(завтрак2,таб,5,FALSE)</f>
        <v>0</v>
      </c>
      <c r="I409" s="26"/>
      <c r="J409" s="26">
        <f>VLOOKUP(завтрак4,таб,5,FALSE)</f>
        <v>0</v>
      </c>
      <c r="K409" s="26">
        <f>VLOOKUP(завтрак5,таб,5,FALSE)</f>
        <v>0</v>
      </c>
      <c r="L409" s="116">
        <f>VLOOKUP(завтрак6,таб,5,FALSE)</f>
        <v>0</v>
      </c>
      <c r="M409" s="71">
        <f>VLOOKUP(завтрак7,таб,5,FALSE)</f>
        <v>0</v>
      </c>
      <c r="N409" s="81">
        <f>VLOOKUP(завтрак8,таб,5,FALSE)</f>
        <v>0</v>
      </c>
      <c r="O409" s="34">
        <f>VLOOKUP(обед1,таб,5,FALSE)</f>
        <v>0</v>
      </c>
      <c r="P409" s="33">
        <f>VLOOKUP(обед2,таб,5,FALSE)</f>
        <v>0</v>
      </c>
      <c r="Q409" s="33">
        <f>VLOOKUP(обед3,таб,5,FALSE)</f>
        <v>0</v>
      </c>
      <c r="R409" s="33">
        <f>VLOOKUP(обед4,таб,5,FALSE)</f>
        <v>0</v>
      </c>
      <c r="S409" s="33">
        <f>VLOOKUP(обед5,таб,5,FALSE)</f>
        <v>0</v>
      </c>
      <c r="T409" s="33">
        <f>VLOOKUP(обед6,таб,5,FALSE)</f>
        <v>0</v>
      </c>
      <c r="U409" s="33">
        <f>VLOOKUP(обед7,таб,5,FALSE)</f>
        <v>0</v>
      </c>
      <c r="V409" s="87">
        <f>VLOOKUP(обед8,таб,5,FALSE)</f>
        <v>0</v>
      </c>
      <c r="W409" s="34">
        <f>VLOOKUP(полдник1,таб,5,FALSE)</f>
        <v>0</v>
      </c>
      <c r="X409" s="33"/>
      <c r="Y409" s="87">
        <f>VLOOKUP(полдник3,таб,5,FALSE)</f>
        <v>0</v>
      </c>
      <c r="Z409" s="34">
        <f>VLOOKUP(ужин1,таб,5,FALSE)</f>
        <v>0</v>
      </c>
      <c r="AA409" s="33">
        <f>VLOOKUP(ужин2,таб,5,FALSE)</f>
        <v>0</v>
      </c>
      <c r="AB409" s="33">
        <f>VLOOKUP(ужин3,таб,5,FALSE)</f>
        <v>0</v>
      </c>
      <c r="AC409" s="33">
        <f>VLOOKUP(ужин4,таб,5,FALSE)</f>
        <v>0</v>
      </c>
      <c r="AD409" s="33">
        <f>VLOOKUP(ужин5,таб,5,FALSE)</f>
        <v>0</v>
      </c>
      <c r="AE409" s="33">
        <f>VLOOKUP(ужин6,таб,5,FALSE)</f>
        <v>0</v>
      </c>
      <c r="AF409" s="33">
        <f>VLOOKUP(ужин7,таб,5,FALSE)</f>
        <v>0</v>
      </c>
      <c r="AG409" s="87">
        <f>VLOOKUP(ужин8,таб,5,FALSE)</f>
        <v>0</v>
      </c>
      <c r="AH409" s="253"/>
      <c r="AI409" s="139">
        <f>AK409/сред</f>
        <v>0</v>
      </c>
      <c r="AJ409" s="140"/>
      <c r="AK409" s="143">
        <f>SUM(G410:AG410)</f>
        <v>0</v>
      </c>
      <c r="AL409" s="143"/>
      <c r="AM409" s="131">
        <f>IF(AK409=0,0,Таблиця!BT501)</f>
        <v>0</v>
      </c>
      <c r="AN409" s="129">
        <f>AK409*AM409</f>
        <v>0</v>
      </c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</row>
    <row r="410" spans="1:66" ht="30.75" customHeight="1" hidden="1">
      <c r="A410" s="136"/>
      <c r="B410" s="137"/>
      <c r="C410" s="137"/>
      <c r="D410" s="137"/>
      <c r="E410" s="138"/>
      <c r="F410" s="107" t="s">
        <v>96</v>
      </c>
      <c r="G410" s="75">
        <f aca="true" t="shared" si="347" ref="G410:AG410">IF(G409=0,"",завтракл*G409/1000)</f>
      </c>
      <c r="H410" s="23">
        <f t="shared" si="347"/>
      </c>
      <c r="I410" s="23"/>
      <c r="J410" s="23">
        <f t="shared" si="347"/>
      </c>
      <c r="K410" s="23">
        <f t="shared" si="347"/>
      </c>
      <c r="L410" s="122">
        <f t="shared" si="347"/>
      </c>
      <c r="M410" s="75">
        <f t="shared" si="347"/>
      </c>
      <c r="N410" s="83">
        <f t="shared" si="347"/>
      </c>
      <c r="O410" s="75">
        <f t="shared" si="347"/>
      </c>
      <c r="P410" s="23">
        <f t="shared" si="347"/>
      </c>
      <c r="Q410" s="23">
        <f t="shared" si="347"/>
      </c>
      <c r="R410" s="23">
        <f t="shared" si="347"/>
      </c>
      <c r="S410" s="23">
        <f t="shared" si="347"/>
      </c>
      <c r="T410" s="23">
        <f t="shared" si="347"/>
      </c>
      <c r="U410" s="23">
        <f t="shared" si="347"/>
      </c>
      <c r="V410" s="83">
        <f t="shared" si="347"/>
      </c>
      <c r="W410" s="25">
        <f t="shared" si="347"/>
      </c>
      <c r="X410" s="23"/>
      <c r="Y410" s="83">
        <f t="shared" si="347"/>
      </c>
      <c r="Z410" s="25">
        <f t="shared" si="347"/>
      </c>
      <c r="AA410" s="23">
        <f t="shared" si="347"/>
      </c>
      <c r="AB410" s="23">
        <f t="shared" si="347"/>
      </c>
      <c r="AC410" s="23">
        <f t="shared" si="347"/>
      </c>
      <c r="AD410" s="23">
        <f t="shared" si="347"/>
      </c>
      <c r="AE410" s="23">
        <f t="shared" si="347"/>
      </c>
      <c r="AF410" s="23">
        <f t="shared" si="347"/>
      </c>
      <c r="AG410" s="83">
        <f t="shared" si="347"/>
      </c>
      <c r="AH410" s="254"/>
      <c r="AI410" s="139"/>
      <c r="AJ410" s="140"/>
      <c r="AK410" s="143"/>
      <c r="AL410" s="143"/>
      <c r="AM410" s="132"/>
      <c r="AN410" s="130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</row>
    <row r="411" spans="1:66" ht="30.75" customHeight="1" hidden="1">
      <c r="A411" s="133"/>
      <c r="B411" s="134"/>
      <c r="C411" s="134"/>
      <c r="D411" s="134"/>
      <c r="E411" s="135"/>
      <c r="F411" s="106" t="s">
        <v>95</v>
      </c>
      <c r="G411" s="71">
        <f>VLOOKUP(завтрак1,таб,5,FALSE)</f>
        <v>0</v>
      </c>
      <c r="H411" s="26">
        <f>VLOOKUP(завтрак2,таб,5,FALSE)</f>
        <v>0</v>
      </c>
      <c r="I411" s="26"/>
      <c r="J411" s="26">
        <f>VLOOKUP(завтрак4,таб,5,FALSE)</f>
        <v>0</v>
      </c>
      <c r="K411" s="26">
        <f>VLOOKUP(завтрак5,таб,5,FALSE)</f>
        <v>0</v>
      </c>
      <c r="L411" s="116">
        <f>VLOOKUP(завтрак6,таб,5,FALSE)</f>
        <v>0</v>
      </c>
      <c r="M411" s="71">
        <f>VLOOKUP(завтрак7,таб,5,FALSE)</f>
        <v>0</v>
      </c>
      <c r="N411" s="81">
        <f>VLOOKUP(завтрак8,таб,5,FALSE)</f>
        <v>0</v>
      </c>
      <c r="O411" s="34">
        <f>VLOOKUP(обед1,таб,5,FALSE)</f>
        <v>0</v>
      </c>
      <c r="P411" s="33">
        <f>VLOOKUP(обед2,таб,5,FALSE)</f>
        <v>0</v>
      </c>
      <c r="Q411" s="33">
        <f>VLOOKUP(обед3,таб,5,FALSE)</f>
        <v>0</v>
      </c>
      <c r="R411" s="33">
        <f>VLOOKUP(обед4,таб,5,FALSE)</f>
        <v>0</v>
      </c>
      <c r="S411" s="33">
        <f>VLOOKUP(обед5,таб,5,FALSE)</f>
        <v>0</v>
      </c>
      <c r="T411" s="33">
        <f>VLOOKUP(обед6,таб,5,FALSE)</f>
        <v>0</v>
      </c>
      <c r="U411" s="33">
        <f>VLOOKUP(обед7,таб,5,FALSE)</f>
        <v>0</v>
      </c>
      <c r="V411" s="87">
        <f>VLOOKUP(обед8,таб,5,FALSE)</f>
        <v>0</v>
      </c>
      <c r="W411" s="34">
        <f>VLOOKUP(полдник1,таб,5,FALSE)</f>
        <v>0</v>
      </c>
      <c r="X411" s="33"/>
      <c r="Y411" s="87">
        <f>VLOOKUP(полдник3,таб,5,FALSE)</f>
        <v>0</v>
      </c>
      <c r="Z411" s="34">
        <f>VLOOKUP(ужин1,таб,5,FALSE)</f>
        <v>0</v>
      </c>
      <c r="AA411" s="33">
        <f>VLOOKUP(ужин2,таб,5,FALSE)</f>
        <v>0</v>
      </c>
      <c r="AB411" s="33">
        <f>VLOOKUP(ужин3,таб,5,FALSE)</f>
        <v>0</v>
      </c>
      <c r="AC411" s="33">
        <f>VLOOKUP(ужин4,таб,5,FALSE)</f>
        <v>0</v>
      </c>
      <c r="AD411" s="33">
        <f>VLOOKUP(ужин5,таб,5,FALSE)</f>
        <v>0</v>
      </c>
      <c r="AE411" s="33">
        <f>VLOOKUP(ужин6,таб,5,FALSE)</f>
        <v>0</v>
      </c>
      <c r="AF411" s="33">
        <f>VLOOKUP(ужин7,таб,5,FALSE)</f>
        <v>0</v>
      </c>
      <c r="AG411" s="87">
        <f>VLOOKUP(ужин8,таб,5,FALSE)</f>
        <v>0</v>
      </c>
      <c r="AH411" s="253"/>
      <c r="AI411" s="139">
        <f>AK411/сред</f>
        <v>0</v>
      </c>
      <c r="AJ411" s="140"/>
      <c r="AK411" s="143">
        <f>SUM(G412:AG412)</f>
        <v>0</v>
      </c>
      <c r="AL411" s="143"/>
      <c r="AM411" s="131">
        <f>IF(AK411=0,0,Таблиця!BT503)</f>
        <v>0</v>
      </c>
      <c r="AN411" s="129">
        <f>AK411*AM411</f>
        <v>0</v>
      </c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</row>
    <row r="412" spans="1:66" ht="30.75" customHeight="1" hidden="1">
      <c r="A412" s="136"/>
      <c r="B412" s="137"/>
      <c r="C412" s="137"/>
      <c r="D412" s="137"/>
      <c r="E412" s="138"/>
      <c r="F412" s="107" t="s">
        <v>96</v>
      </c>
      <c r="G412" s="75">
        <f aca="true" t="shared" si="348" ref="G412:AG412">IF(G411=0,"",завтракл*G411/1000)</f>
      </c>
      <c r="H412" s="23">
        <f t="shared" si="348"/>
      </c>
      <c r="I412" s="23"/>
      <c r="J412" s="23">
        <f t="shared" si="348"/>
      </c>
      <c r="K412" s="23">
        <f t="shared" si="348"/>
      </c>
      <c r="L412" s="122">
        <f t="shared" si="348"/>
      </c>
      <c r="M412" s="75">
        <f t="shared" si="348"/>
      </c>
      <c r="N412" s="83">
        <f t="shared" si="348"/>
      </c>
      <c r="O412" s="75">
        <f t="shared" si="348"/>
      </c>
      <c r="P412" s="23">
        <f t="shared" si="348"/>
      </c>
      <c r="Q412" s="23">
        <f t="shared" si="348"/>
      </c>
      <c r="R412" s="23">
        <f t="shared" si="348"/>
      </c>
      <c r="S412" s="23">
        <f t="shared" si="348"/>
      </c>
      <c r="T412" s="23">
        <f t="shared" si="348"/>
      </c>
      <c r="U412" s="23">
        <f t="shared" si="348"/>
      </c>
      <c r="V412" s="83">
        <f t="shared" si="348"/>
      </c>
      <c r="W412" s="25">
        <f t="shared" si="348"/>
      </c>
      <c r="X412" s="23"/>
      <c r="Y412" s="83">
        <f t="shared" si="348"/>
      </c>
      <c r="Z412" s="25">
        <f t="shared" si="348"/>
      </c>
      <c r="AA412" s="23">
        <f t="shared" si="348"/>
      </c>
      <c r="AB412" s="23">
        <f t="shared" si="348"/>
      </c>
      <c r="AC412" s="23">
        <f t="shared" si="348"/>
      </c>
      <c r="AD412" s="23">
        <f t="shared" si="348"/>
      </c>
      <c r="AE412" s="23">
        <f t="shared" si="348"/>
      </c>
      <c r="AF412" s="23">
        <f t="shared" si="348"/>
      </c>
      <c r="AG412" s="83">
        <f t="shared" si="348"/>
      </c>
      <c r="AH412" s="254"/>
      <c r="AI412" s="139"/>
      <c r="AJ412" s="140"/>
      <c r="AK412" s="143"/>
      <c r="AL412" s="143"/>
      <c r="AM412" s="132"/>
      <c r="AN412" s="130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</row>
    <row r="413" spans="1:66" ht="30.75" customHeight="1" hidden="1">
      <c r="A413" s="133"/>
      <c r="B413" s="134"/>
      <c r="C413" s="134"/>
      <c r="D413" s="134"/>
      <c r="E413" s="135"/>
      <c r="F413" s="106" t="s">
        <v>95</v>
      </c>
      <c r="G413" s="71">
        <f>VLOOKUP(завтрак1,таб,5,FALSE)</f>
        <v>0</v>
      </c>
      <c r="H413" s="26">
        <f>VLOOKUP(завтрак2,таб,5,FALSE)</f>
        <v>0</v>
      </c>
      <c r="I413" s="26"/>
      <c r="J413" s="26">
        <f>VLOOKUP(завтрак4,таб,5,FALSE)</f>
        <v>0</v>
      </c>
      <c r="K413" s="26">
        <f>VLOOKUP(завтрак5,таб,5,FALSE)</f>
        <v>0</v>
      </c>
      <c r="L413" s="116">
        <f>VLOOKUP(завтрак6,таб,5,FALSE)</f>
        <v>0</v>
      </c>
      <c r="M413" s="71">
        <f>VLOOKUP(завтрак7,таб,5,FALSE)</f>
        <v>0</v>
      </c>
      <c r="N413" s="81">
        <f>VLOOKUP(завтрак8,таб,5,FALSE)</f>
        <v>0</v>
      </c>
      <c r="O413" s="34">
        <f>VLOOKUP(обед1,таб,5,FALSE)</f>
        <v>0</v>
      </c>
      <c r="P413" s="33">
        <f>VLOOKUP(обед2,таб,5,FALSE)</f>
        <v>0</v>
      </c>
      <c r="Q413" s="33">
        <f>VLOOKUP(обед3,таб,5,FALSE)</f>
        <v>0</v>
      </c>
      <c r="R413" s="33">
        <f>VLOOKUP(обед4,таб,5,FALSE)</f>
        <v>0</v>
      </c>
      <c r="S413" s="33">
        <f>VLOOKUP(обед5,таб,5,FALSE)</f>
        <v>0</v>
      </c>
      <c r="T413" s="33">
        <f>VLOOKUP(обед6,таб,5,FALSE)</f>
        <v>0</v>
      </c>
      <c r="U413" s="33">
        <f>VLOOKUP(обед7,таб,5,FALSE)</f>
        <v>0</v>
      </c>
      <c r="V413" s="87">
        <f>VLOOKUP(обед8,таб,5,FALSE)</f>
        <v>0</v>
      </c>
      <c r="W413" s="34">
        <f>VLOOKUP(полдник1,таб,5,FALSE)</f>
        <v>0</v>
      </c>
      <c r="X413" s="33"/>
      <c r="Y413" s="87">
        <f>VLOOKUP(полдник3,таб,5,FALSE)</f>
        <v>0</v>
      </c>
      <c r="Z413" s="34">
        <f>VLOOKUP(ужин1,таб,5,FALSE)</f>
        <v>0</v>
      </c>
      <c r="AA413" s="33">
        <f>VLOOKUP(ужин2,таб,5,FALSE)</f>
        <v>0</v>
      </c>
      <c r="AB413" s="33">
        <f>VLOOKUP(ужин3,таб,5,FALSE)</f>
        <v>0</v>
      </c>
      <c r="AC413" s="33">
        <f>VLOOKUP(ужин4,таб,5,FALSE)</f>
        <v>0</v>
      </c>
      <c r="AD413" s="33">
        <f>VLOOKUP(ужин5,таб,5,FALSE)</f>
        <v>0</v>
      </c>
      <c r="AE413" s="33">
        <f>VLOOKUP(ужин6,таб,5,FALSE)</f>
        <v>0</v>
      </c>
      <c r="AF413" s="33">
        <f>VLOOKUP(ужин7,таб,5,FALSE)</f>
        <v>0</v>
      </c>
      <c r="AG413" s="87">
        <f>VLOOKUP(ужин8,таб,5,FALSE)</f>
        <v>0</v>
      </c>
      <c r="AH413" s="253"/>
      <c r="AI413" s="139">
        <f>AK413/сред</f>
        <v>0</v>
      </c>
      <c r="AJ413" s="140"/>
      <c r="AK413" s="143">
        <f>SUM(G414:AG414)</f>
        <v>0</v>
      </c>
      <c r="AL413" s="143"/>
      <c r="AM413" s="131">
        <f>IF(AK413=0,0,Таблиця!BT505)</f>
        <v>0</v>
      </c>
      <c r="AN413" s="129">
        <f>AK413*AM413</f>
        <v>0</v>
      </c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</row>
    <row r="414" spans="1:66" ht="30.75" customHeight="1" hidden="1">
      <c r="A414" s="136"/>
      <c r="B414" s="137"/>
      <c r="C414" s="137"/>
      <c r="D414" s="137"/>
      <c r="E414" s="138"/>
      <c r="F414" s="107" t="s">
        <v>96</v>
      </c>
      <c r="G414" s="75">
        <f aca="true" t="shared" si="349" ref="G414:AG414">IF(G413=0,"",завтракл*G413/1000)</f>
      </c>
      <c r="H414" s="23">
        <f t="shared" si="349"/>
      </c>
      <c r="I414" s="23"/>
      <c r="J414" s="23">
        <f t="shared" si="349"/>
      </c>
      <c r="K414" s="23">
        <f t="shared" si="349"/>
      </c>
      <c r="L414" s="122">
        <f t="shared" si="349"/>
      </c>
      <c r="M414" s="75">
        <f t="shared" si="349"/>
      </c>
      <c r="N414" s="83">
        <f t="shared" si="349"/>
      </c>
      <c r="O414" s="75">
        <f t="shared" si="349"/>
      </c>
      <c r="P414" s="23">
        <f t="shared" si="349"/>
      </c>
      <c r="Q414" s="23">
        <f t="shared" si="349"/>
      </c>
      <c r="R414" s="23">
        <f t="shared" si="349"/>
      </c>
      <c r="S414" s="23">
        <f t="shared" si="349"/>
      </c>
      <c r="T414" s="23">
        <f t="shared" si="349"/>
      </c>
      <c r="U414" s="23">
        <f t="shared" si="349"/>
      </c>
      <c r="V414" s="83">
        <f t="shared" si="349"/>
      </c>
      <c r="W414" s="25">
        <f t="shared" si="349"/>
      </c>
      <c r="X414" s="23"/>
      <c r="Y414" s="83">
        <f t="shared" si="349"/>
      </c>
      <c r="Z414" s="25">
        <f t="shared" si="349"/>
      </c>
      <c r="AA414" s="23">
        <f t="shared" si="349"/>
      </c>
      <c r="AB414" s="23">
        <f t="shared" si="349"/>
      </c>
      <c r="AC414" s="23">
        <f t="shared" si="349"/>
      </c>
      <c r="AD414" s="23">
        <f t="shared" si="349"/>
      </c>
      <c r="AE414" s="23">
        <f t="shared" si="349"/>
      </c>
      <c r="AF414" s="23">
        <f t="shared" si="349"/>
      </c>
      <c r="AG414" s="83">
        <f t="shared" si="349"/>
      </c>
      <c r="AH414" s="254"/>
      <c r="AI414" s="139"/>
      <c r="AJ414" s="140"/>
      <c r="AK414" s="143"/>
      <c r="AL414" s="143"/>
      <c r="AM414" s="132"/>
      <c r="AN414" s="130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</row>
    <row r="415" spans="1:66" ht="30.75" customHeight="1" hidden="1">
      <c r="A415" s="133"/>
      <c r="B415" s="134"/>
      <c r="C415" s="134"/>
      <c r="D415" s="134"/>
      <c r="E415" s="135"/>
      <c r="F415" s="106" t="s">
        <v>95</v>
      </c>
      <c r="G415" s="71">
        <f>VLOOKUP(завтрак1,таб,5,FALSE)</f>
        <v>0</v>
      </c>
      <c r="H415" s="26">
        <f>VLOOKUP(завтрак2,таб,5,FALSE)</f>
        <v>0</v>
      </c>
      <c r="I415" s="26"/>
      <c r="J415" s="26">
        <f>VLOOKUP(завтрак4,таб,5,FALSE)</f>
        <v>0</v>
      </c>
      <c r="K415" s="26">
        <f>VLOOKUP(завтрак5,таб,5,FALSE)</f>
        <v>0</v>
      </c>
      <c r="L415" s="116">
        <f>VLOOKUP(завтрак6,таб,5,FALSE)</f>
        <v>0</v>
      </c>
      <c r="M415" s="71">
        <f>VLOOKUP(завтрак7,таб,5,FALSE)</f>
        <v>0</v>
      </c>
      <c r="N415" s="81">
        <f>VLOOKUP(завтрак8,таб,5,FALSE)</f>
        <v>0</v>
      </c>
      <c r="O415" s="34">
        <f>VLOOKUP(обед1,таб,5,FALSE)</f>
        <v>0</v>
      </c>
      <c r="P415" s="33">
        <f>VLOOKUP(обед2,таб,5,FALSE)</f>
        <v>0</v>
      </c>
      <c r="Q415" s="33">
        <f>VLOOKUP(обед3,таб,5,FALSE)</f>
        <v>0</v>
      </c>
      <c r="R415" s="33">
        <f>VLOOKUP(обед4,таб,5,FALSE)</f>
        <v>0</v>
      </c>
      <c r="S415" s="33">
        <f>VLOOKUP(обед5,таб,5,FALSE)</f>
        <v>0</v>
      </c>
      <c r="T415" s="33">
        <f>VLOOKUP(обед6,таб,5,FALSE)</f>
        <v>0</v>
      </c>
      <c r="U415" s="33">
        <f>VLOOKUP(обед7,таб,5,FALSE)</f>
        <v>0</v>
      </c>
      <c r="V415" s="87">
        <f>VLOOKUP(обед8,таб,5,FALSE)</f>
        <v>0</v>
      </c>
      <c r="W415" s="34">
        <f>VLOOKUP(полдник1,таб,5,FALSE)</f>
        <v>0</v>
      </c>
      <c r="X415" s="33"/>
      <c r="Y415" s="87">
        <f>VLOOKUP(полдник3,таб,5,FALSE)</f>
        <v>0</v>
      </c>
      <c r="Z415" s="34">
        <f>VLOOKUP(ужин1,таб,5,FALSE)</f>
        <v>0</v>
      </c>
      <c r="AA415" s="33">
        <f>VLOOKUP(ужин2,таб,5,FALSE)</f>
        <v>0</v>
      </c>
      <c r="AB415" s="33">
        <f>VLOOKUP(ужин3,таб,5,FALSE)</f>
        <v>0</v>
      </c>
      <c r="AC415" s="33">
        <f>VLOOKUP(ужин4,таб,5,FALSE)</f>
        <v>0</v>
      </c>
      <c r="AD415" s="33">
        <f>VLOOKUP(ужин5,таб,5,FALSE)</f>
        <v>0</v>
      </c>
      <c r="AE415" s="33">
        <f>VLOOKUP(ужин6,таб,5,FALSE)</f>
        <v>0</v>
      </c>
      <c r="AF415" s="33">
        <f>VLOOKUP(ужин7,таб,5,FALSE)</f>
        <v>0</v>
      </c>
      <c r="AG415" s="87">
        <f>VLOOKUP(ужин8,таб,5,FALSE)</f>
        <v>0</v>
      </c>
      <c r="AH415" s="253"/>
      <c r="AI415" s="139">
        <f>AK415/сред</f>
        <v>0</v>
      </c>
      <c r="AJ415" s="140"/>
      <c r="AK415" s="143">
        <f>SUM(G416:AG416)</f>
        <v>0</v>
      </c>
      <c r="AL415" s="143"/>
      <c r="AM415" s="131">
        <f>IF(AK415=0,0,Таблиця!BT507)</f>
        <v>0</v>
      </c>
      <c r="AN415" s="129">
        <f>AK415*AM415</f>
        <v>0</v>
      </c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</row>
    <row r="416" spans="1:66" ht="30.75" customHeight="1" hidden="1">
      <c r="A416" s="136"/>
      <c r="B416" s="137"/>
      <c r="C416" s="137"/>
      <c r="D416" s="137"/>
      <c r="E416" s="138"/>
      <c r="F416" s="107" t="s">
        <v>96</v>
      </c>
      <c r="G416" s="75">
        <f aca="true" t="shared" si="350" ref="G416:AG416">IF(G415=0,"",завтракл*G415/1000)</f>
      </c>
      <c r="H416" s="23">
        <f t="shared" si="350"/>
      </c>
      <c r="I416" s="23"/>
      <c r="J416" s="23">
        <f t="shared" si="350"/>
      </c>
      <c r="K416" s="23">
        <f t="shared" si="350"/>
      </c>
      <c r="L416" s="122">
        <f t="shared" si="350"/>
      </c>
      <c r="M416" s="75">
        <f t="shared" si="350"/>
      </c>
      <c r="N416" s="83">
        <f t="shared" si="350"/>
      </c>
      <c r="O416" s="75">
        <f t="shared" si="350"/>
      </c>
      <c r="P416" s="23">
        <f t="shared" si="350"/>
      </c>
      <c r="Q416" s="23">
        <f t="shared" si="350"/>
      </c>
      <c r="R416" s="23">
        <f t="shared" si="350"/>
      </c>
      <c r="S416" s="23">
        <f t="shared" si="350"/>
      </c>
      <c r="T416" s="23">
        <f t="shared" si="350"/>
      </c>
      <c r="U416" s="23">
        <f t="shared" si="350"/>
      </c>
      <c r="V416" s="83">
        <f t="shared" si="350"/>
      </c>
      <c r="W416" s="25">
        <f t="shared" si="350"/>
      </c>
      <c r="X416" s="23"/>
      <c r="Y416" s="83">
        <f t="shared" si="350"/>
      </c>
      <c r="Z416" s="25">
        <f t="shared" si="350"/>
      </c>
      <c r="AA416" s="23">
        <f t="shared" si="350"/>
      </c>
      <c r="AB416" s="23">
        <f t="shared" si="350"/>
      </c>
      <c r="AC416" s="23">
        <f t="shared" si="350"/>
      </c>
      <c r="AD416" s="23">
        <f t="shared" si="350"/>
      </c>
      <c r="AE416" s="23">
        <f t="shared" si="350"/>
      </c>
      <c r="AF416" s="23">
        <f t="shared" si="350"/>
      </c>
      <c r="AG416" s="83">
        <f t="shared" si="350"/>
      </c>
      <c r="AH416" s="254"/>
      <c r="AI416" s="139"/>
      <c r="AJ416" s="140"/>
      <c r="AK416" s="143"/>
      <c r="AL416" s="143"/>
      <c r="AM416" s="132"/>
      <c r="AN416" s="130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</row>
    <row r="417" spans="1:66" ht="30.75" customHeight="1" hidden="1">
      <c r="A417" s="133"/>
      <c r="B417" s="134"/>
      <c r="C417" s="134"/>
      <c r="D417" s="134"/>
      <c r="E417" s="135"/>
      <c r="F417" s="106" t="s">
        <v>95</v>
      </c>
      <c r="G417" s="71">
        <f>VLOOKUP(завтрак1,таб,5,FALSE)</f>
        <v>0</v>
      </c>
      <c r="H417" s="26">
        <f>VLOOKUP(завтрак2,таб,5,FALSE)</f>
        <v>0</v>
      </c>
      <c r="I417" s="26"/>
      <c r="J417" s="26">
        <f>VLOOKUP(завтрак4,таб,5,FALSE)</f>
        <v>0</v>
      </c>
      <c r="K417" s="26">
        <f>VLOOKUP(завтрак5,таб,5,FALSE)</f>
        <v>0</v>
      </c>
      <c r="L417" s="116">
        <f>VLOOKUP(завтрак6,таб,5,FALSE)</f>
        <v>0</v>
      </c>
      <c r="M417" s="71">
        <f>VLOOKUP(завтрак7,таб,5,FALSE)</f>
        <v>0</v>
      </c>
      <c r="N417" s="81">
        <f>VLOOKUP(завтрак8,таб,5,FALSE)</f>
        <v>0</v>
      </c>
      <c r="O417" s="34">
        <f>VLOOKUP(обед1,таб,5,FALSE)</f>
        <v>0</v>
      </c>
      <c r="P417" s="33">
        <f>VLOOKUP(обед2,таб,5,FALSE)</f>
        <v>0</v>
      </c>
      <c r="Q417" s="33">
        <f>VLOOKUP(обед3,таб,5,FALSE)</f>
        <v>0</v>
      </c>
      <c r="R417" s="33">
        <f>VLOOKUP(обед4,таб,5,FALSE)</f>
        <v>0</v>
      </c>
      <c r="S417" s="33">
        <f>VLOOKUP(обед5,таб,5,FALSE)</f>
        <v>0</v>
      </c>
      <c r="T417" s="33">
        <f>VLOOKUP(обед6,таб,5,FALSE)</f>
        <v>0</v>
      </c>
      <c r="U417" s="33">
        <f>VLOOKUP(обед7,таб,5,FALSE)</f>
        <v>0</v>
      </c>
      <c r="V417" s="87">
        <f>VLOOKUP(обед8,таб,5,FALSE)</f>
        <v>0</v>
      </c>
      <c r="W417" s="34">
        <f>VLOOKUP(полдник1,таб,5,FALSE)</f>
        <v>0</v>
      </c>
      <c r="X417" s="33"/>
      <c r="Y417" s="87">
        <f>VLOOKUP(полдник3,таб,5,FALSE)</f>
        <v>0</v>
      </c>
      <c r="Z417" s="34">
        <f>VLOOKUP(ужин1,таб,5,FALSE)</f>
        <v>0</v>
      </c>
      <c r="AA417" s="33">
        <f>VLOOKUP(ужин2,таб,5,FALSE)</f>
        <v>0</v>
      </c>
      <c r="AB417" s="33">
        <f>VLOOKUP(ужин3,таб,5,FALSE)</f>
        <v>0</v>
      </c>
      <c r="AC417" s="33">
        <f>VLOOKUP(ужин4,таб,5,FALSE)</f>
        <v>0</v>
      </c>
      <c r="AD417" s="33">
        <f>VLOOKUP(ужин5,таб,5,FALSE)</f>
        <v>0</v>
      </c>
      <c r="AE417" s="33">
        <f>VLOOKUP(ужин6,таб,5,FALSE)</f>
        <v>0</v>
      </c>
      <c r="AF417" s="33">
        <f>VLOOKUP(ужин7,таб,5,FALSE)</f>
        <v>0</v>
      </c>
      <c r="AG417" s="87">
        <f>VLOOKUP(ужин8,таб,5,FALSE)</f>
        <v>0</v>
      </c>
      <c r="AH417" s="253"/>
      <c r="AI417" s="139">
        <f>AK417/сред</f>
        <v>0</v>
      </c>
      <c r="AJ417" s="140"/>
      <c r="AK417" s="143">
        <f>SUM(G418:AG418)</f>
        <v>0</v>
      </c>
      <c r="AL417" s="143"/>
      <c r="AM417" s="131">
        <f>IF(AK417=0,0,Таблиця!BT509)</f>
        <v>0</v>
      </c>
      <c r="AN417" s="129">
        <f>AK417*AM417</f>
        <v>0</v>
      </c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</row>
    <row r="418" spans="1:66" ht="30.75" customHeight="1" hidden="1">
      <c r="A418" s="136"/>
      <c r="B418" s="137"/>
      <c r="C418" s="137"/>
      <c r="D418" s="137"/>
      <c r="E418" s="138"/>
      <c r="F418" s="107" t="s">
        <v>96</v>
      </c>
      <c r="G418" s="75">
        <f aca="true" t="shared" si="351" ref="G418:AG418">IF(G417=0,"",завтракл*G417/1000)</f>
      </c>
      <c r="H418" s="23">
        <f t="shared" si="351"/>
      </c>
      <c r="I418" s="23"/>
      <c r="J418" s="23">
        <f t="shared" si="351"/>
      </c>
      <c r="K418" s="23">
        <f t="shared" si="351"/>
      </c>
      <c r="L418" s="122">
        <f t="shared" si="351"/>
      </c>
      <c r="M418" s="75">
        <f t="shared" si="351"/>
      </c>
      <c r="N418" s="83">
        <f t="shared" si="351"/>
      </c>
      <c r="O418" s="75">
        <f t="shared" si="351"/>
      </c>
      <c r="P418" s="23">
        <f t="shared" si="351"/>
      </c>
      <c r="Q418" s="23">
        <f t="shared" si="351"/>
      </c>
      <c r="R418" s="23">
        <f t="shared" si="351"/>
      </c>
      <c r="S418" s="23">
        <f t="shared" si="351"/>
      </c>
      <c r="T418" s="23">
        <f t="shared" si="351"/>
      </c>
      <c r="U418" s="23">
        <f t="shared" si="351"/>
      </c>
      <c r="V418" s="83">
        <f t="shared" si="351"/>
      </c>
      <c r="W418" s="25">
        <f t="shared" si="351"/>
      </c>
      <c r="X418" s="23"/>
      <c r="Y418" s="83">
        <f t="shared" si="351"/>
      </c>
      <c r="Z418" s="25">
        <f t="shared" si="351"/>
      </c>
      <c r="AA418" s="23">
        <f t="shared" si="351"/>
      </c>
      <c r="AB418" s="23">
        <f t="shared" si="351"/>
      </c>
      <c r="AC418" s="23">
        <f t="shared" si="351"/>
      </c>
      <c r="AD418" s="23">
        <f t="shared" si="351"/>
      </c>
      <c r="AE418" s="23">
        <f t="shared" si="351"/>
      </c>
      <c r="AF418" s="23">
        <f t="shared" si="351"/>
      </c>
      <c r="AG418" s="83">
        <f t="shared" si="351"/>
      </c>
      <c r="AH418" s="254"/>
      <c r="AI418" s="139"/>
      <c r="AJ418" s="140"/>
      <c r="AK418" s="143"/>
      <c r="AL418" s="143"/>
      <c r="AM418" s="132"/>
      <c r="AN418" s="130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</row>
    <row r="419" spans="1:66" ht="30.75" customHeight="1" hidden="1">
      <c r="A419" s="133"/>
      <c r="B419" s="134"/>
      <c r="C419" s="134"/>
      <c r="D419" s="134"/>
      <c r="E419" s="135"/>
      <c r="F419" s="106" t="s">
        <v>95</v>
      </c>
      <c r="G419" s="71">
        <f>VLOOKUP(завтрак1,таб,5,FALSE)</f>
        <v>0</v>
      </c>
      <c r="H419" s="26">
        <f>VLOOKUP(завтрак2,таб,5,FALSE)</f>
        <v>0</v>
      </c>
      <c r="I419" s="26"/>
      <c r="J419" s="26">
        <f>VLOOKUP(завтрак4,таб,5,FALSE)</f>
        <v>0</v>
      </c>
      <c r="K419" s="26">
        <f>VLOOKUP(завтрак5,таб,5,FALSE)</f>
        <v>0</v>
      </c>
      <c r="L419" s="116">
        <f>VLOOKUP(завтрак6,таб,5,FALSE)</f>
        <v>0</v>
      </c>
      <c r="M419" s="71">
        <f>VLOOKUP(завтрак7,таб,5,FALSE)</f>
        <v>0</v>
      </c>
      <c r="N419" s="81">
        <f>VLOOKUP(завтрак8,таб,5,FALSE)</f>
        <v>0</v>
      </c>
      <c r="O419" s="34">
        <f>VLOOKUP(обед1,таб,5,FALSE)</f>
        <v>0</v>
      </c>
      <c r="P419" s="33">
        <f>VLOOKUP(обед2,таб,5,FALSE)</f>
        <v>0</v>
      </c>
      <c r="Q419" s="33">
        <f>VLOOKUP(обед3,таб,5,FALSE)</f>
        <v>0</v>
      </c>
      <c r="R419" s="33">
        <f>VLOOKUP(обед4,таб,5,FALSE)</f>
        <v>0</v>
      </c>
      <c r="S419" s="33">
        <f>VLOOKUP(обед5,таб,5,FALSE)</f>
        <v>0</v>
      </c>
      <c r="T419" s="33">
        <f>VLOOKUP(обед6,таб,5,FALSE)</f>
        <v>0</v>
      </c>
      <c r="U419" s="33">
        <f>VLOOKUP(обед7,таб,5,FALSE)</f>
        <v>0</v>
      </c>
      <c r="V419" s="87">
        <f>VLOOKUP(обед8,таб,5,FALSE)</f>
        <v>0</v>
      </c>
      <c r="W419" s="34">
        <f>VLOOKUP(полдник1,таб,5,FALSE)</f>
        <v>0</v>
      </c>
      <c r="X419" s="33"/>
      <c r="Y419" s="87">
        <f>VLOOKUP(полдник3,таб,5,FALSE)</f>
        <v>0</v>
      </c>
      <c r="Z419" s="34">
        <f>VLOOKUP(ужин1,таб,5,FALSE)</f>
        <v>0</v>
      </c>
      <c r="AA419" s="33">
        <f>VLOOKUP(ужин2,таб,5,FALSE)</f>
        <v>0</v>
      </c>
      <c r="AB419" s="33">
        <f>VLOOKUP(ужин3,таб,5,FALSE)</f>
        <v>0</v>
      </c>
      <c r="AC419" s="33">
        <f>VLOOKUP(ужин4,таб,5,FALSE)</f>
        <v>0</v>
      </c>
      <c r="AD419" s="33">
        <f>VLOOKUP(ужин5,таб,5,FALSE)</f>
        <v>0</v>
      </c>
      <c r="AE419" s="33">
        <f>VLOOKUP(ужин6,таб,5,FALSE)</f>
        <v>0</v>
      </c>
      <c r="AF419" s="33">
        <f>VLOOKUP(ужин7,таб,5,FALSE)</f>
        <v>0</v>
      </c>
      <c r="AG419" s="87">
        <f>VLOOKUP(ужин8,таб,5,FALSE)</f>
        <v>0</v>
      </c>
      <c r="AH419" s="253"/>
      <c r="AI419" s="139">
        <f>AK419/сред</f>
        <v>0</v>
      </c>
      <c r="AJ419" s="140"/>
      <c r="AK419" s="143">
        <f>SUM(G420:AG420)</f>
        <v>0</v>
      </c>
      <c r="AL419" s="143"/>
      <c r="AM419" s="131">
        <f>IF(AK419=0,0,Таблиця!BT511)</f>
        <v>0</v>
      </c>
      <c r="AN419" s="129">
        <f>AK419*AM419</f>
        <v>0</v>
      </c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</row>
    <row r="420" spans="1:66" ht="30.75" customHeight="1" hidden="1">
      <c r="A420" s="136"/>
      <c r="B420" s="137"/>
      <c r="C420" s="137"/>
      <c r="D420" s="137"/>
      <c r="E420" s="138"/>
      <c r="F420" s="107" t="s">
        <v>96</v>
      </c>
      <c r="G420" s="75">
        <f aca="true" t="shared" si="352" ref="G420:AG420">IF(G419=0,"",завтракл*G419/1000)</f>
      </c>
      <c r="H420" s="23">
        <f t="shared" si="352"/>
      </c>
      <c r="I420" s="23"/>
      <c r="J420" s="23">
        <f t="shared" si="352"/>
      </c>
      <c r="K420" s="23">
        <f t="shared" si="352"/>
      </c>
      <c r="L420" s="122">
        <f t="shared" si="352"/>
      </c>
      <c r="M420" s="75">
        <f t="shared" si="352"/>
      </c>
      <c r="N420" s="83">
        <f t="shared" si="352"/>
      </c>
      <c r="O420" s="75">
        <f t="shared" si="352"/>
      </c>
      <c r="P420" s="23">
        <f t="shared" si="352"/>
      </c>
      <c r="Q420" s="23">
        <f t="shared" si="352"/>
      </c>
      <c r="R420" s="23">
        <f t="shared" si="352"/>
      </c>
      <c r="S420" s="23">
        <f t="shared" si="352"/>
      </c>
      <c r="T420" s="23">
        <f t="shared" si="352"/>
      </c>
      <c r="U420" s="23">
        <f t="shared" si="352"/>
      </c>
      <c r="V420" s="83">
        <f t="shared" si="352"/>
      </c>
      <c r="W420" s="25">
        <f t="shared" si="352"/>
      </c>
      <c r="X420" s="23"/>
      <c r="Y420" s="83">
        <f t="shared" si="352"/>
      </c>
      <c r="Z420" s="25">
        <f t="shared" si="352"/>
      </c>
      <c r="AA420" s="23">
        <f t="shared" si="352"/>
      </c>
      <c r="AB420" s="23">
        <f t="shared" si="352"/>
      </c>
      <c r="AC420" s="23">
        <f t="shared" si="352"/>
      </c>
      <c r="AD420" s="23">
        <f t="shared" si="352"/>
      </c>
      <c r="AE420" s="23">
        <f t="shared" si="352"/>
      </c>
      <c r="AF420" s="23">
        <f t="shared" si="352"/>
      </c>
      <c r="AG420" s="83">
        <f t="shared" si="352"/>
      </c>
      <c r="AH420" s="254"/>
      <c r="AI420" s="139"/>
      <c r="AJ420" s="140"/>
      <c r="AK420" s="143"/>
      <c r="AL420" s="143"/>
      <c r="AM420" s="132"/>
      <c r="AN420" s="130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</row>
    <row r="421" spans="1:66" ht="30.75" customHeight="1" hidden="1">
      <c r="A421" s="133"/>
      <c r="B421" s="134"/>
      <c r="C421" s="134"/>
      <c r="D421" s="134"/>
      <c r="E421" s="135"/>
      <c r="F421" s="106" t="s">
        <v>95</v>
      </c>
      <c r="G421" s="71">
        <f>VLOOKUP(завтрак1,таб,5,FALSE)</f>
        <v>0</v>
      </c>
      <c r="H421" s="26">
        <f>VLOOKUP(завтрак2,таб,5,FALSE)</f>
        <v>0</v>
      </c>
      <c r="I421" s="26"/>
      <c r="J421" s="26">
        <f>VLOOKUP(завтрак4,таб,5,FALSE)</f>
        <v>0</v>
      </c>
      <c r="K421" s="26">
        <f>VLOOKUP(завтрак5,таб,5,FALSE)</f>
        <v>0</v>
      </c>
      <c r="L421" s="116">
        <f>VLOOKUP(завтрак6,таб,5,FALSE)</f>
        <v>0</v>
      </c>
      <c r="M421" s="71">
        <f>VLOOKUP(завтрак7,таб,5,FALSE)</f>
        <v>0</v>
      </c>
      <c r="N421" s="81">
        <f>VLOOKUP(завтрак8,таб,5,FALSE)</f>
        <v>0</v>
      </c>
      <c r="O421" s="34">
        <f>VLOOKUP(обед1,таб,5,FALSE)</f>
        <v>0</v>
      </c>
      <c r="P421" s="33">
        <f>VLOOKUP(обед2,таб,5,FALSE)</f>
        <v>0</v>
      </c>
      <c r="Q421" s="33">
        <f>VLOOKUP(обед3,таб,5,FALSE)</f>
        <v>0</v>
      </c>
      <c r="R421" s="33">
        <f>VLOOKUP(обед4,таб,5,FALSE)</f>
        <v>0</v>
      </c>
      <c r="S421" s="33">
        <f>VLOOKUP(обед5,таб,5,FALSE)</f>
        <v>0</v>
      </c>
      <c r="T421" s="33">
        <f>VLOOKUP(обед6,таб,5,FALSE)</f>
        <v>0</v>
      </c>
      <c r="U421" s="33">
        <f>VLOOKUP(обед7,таб,5,FALSE)</f>
        <v>0</v>
      </c>
      <c r="V421" s="87">
        <f>VLOOKUP(обед8,таб,5,FALSE)</f>
        <v>0</v>
      </c>
      <c r="W421" s="34">
        <f>VLOOKUP(полдник1,таб,5,FALSE)</f>
        <v>0</v>
      </c>
      <c r="X421" s="33"/>
      <c r="Y421" s="87">
        <f>VLOOKUP(полдник3,таб,5,FALSE)</f>
        <v>0</v>
      </c>
      <c r="Z421" s="34">
        <f>VLOOKUP(ужин1,таб,5,FALSE)</f>
        <v>0</v>
      </c>
      <c r="AA421" s="33">
        <f>VLOOKUP(ужин2,таб,5,FALSE)</f>
        <v>0</v>
      </c>
      <c r="AB421" s="33">
        <f>VLOOKUP(ужин3,таб,5,FALSE)</f>
        <v>0</v>
      </c>
      <c r="AC421" s="33">
        <f>VLOOKUP(ужин4,таб,5,FALSE)</f>
        <v>0</v>
      </c>
      <c r="AD421" s="33">
        <f>VLOOKUP(ужин5,таб,5,FALSE)</f>
        <v>0</v>
      </c>
      <c r="AE421" s="33">
        <f>VLOOKUP(ужин6,таб,5,FALSE)</f>
        <v>0</v>
      </c>
      <c r="AF421" s="33">
        <f>VLOOKUP(ужин7,таб,5,FALSE)</f>
        <v>0</v>
      </c>
      <c r="AG421" s="87">
        <f>VLOOKUP(ужин8,таб,5,FALSE)</f>
        <v>0</v>
      </c>
      <c r="AH421" s="253"/>
      <c r="AI421" s="139">
        <f>AK421/сред</f>
        <v>0</v>
      </c>
      <c r="AJ421" s="140"/>
      <c r="AK421" s="143">
        <f>SUM(G422:AG422)</f>
        <v>0</v>
      </c>
      <c r="AL421" s="143"/>
      <c r="AM421" s="131">
        <f>IF(AK421=0,0,Таблиця!BT513)</f>
        <v>0</v>
      </c>
      <c r="AN421" s="129">
        <f>AK421*AM421</f>
        <v>0</v>
      </c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</row>
    <row r="422" spans="1:66" ht="30.75" customHeight="1" hidden="1">
      <c r="A422" s="136"/>
      <c r="B422" s="137"/>
      <c r="C422" s="137"/>
      <c r="D422" s="137"/>
      <c r="E422" s="138"/>
      <c r="F422" s="107" t="s">
        <v>96</v>
      </c>
      <c r="G422" s="75">
        <f aca="true" t="shared" si="353" ref="G422:AG422">IF(G421=0,"",завтракл*G421/1000)</f>
      </c>
      <c r="H422" s="23">
        <f t="shared" si="353"/>
      </c>
      <c r="I422" s="23"/>
      <c r="J422" s="23">
        <f t="shared" si="353"/>
      </c>
      <c r="K422" s="23">
        <f t="shared" si="353"/>
      </c>
      <c r="L422" s="122">
        <f t="shared" si="353"/>
      </c>
      <c r="M422" s="75">
        <f t="shared" si="353"/>
      </c>
      <c r="N422" s="83">
        <f t="shared" si="353"/>
      </c>
      <c r="O422" s="75">
        <f t="shared" si="353"/>
      </c>
      <c r="P422" s="23">
        <f t="shared" si="353"/>
      </c>
      <c r="Q422" s="23">
        <f t="shared" si="353"/>
      </c>
      <c r="R422" s="23">
        <f t="shared" si="353"/>
      </c>
      <c r="S422" s="23">
        <f t="shared" si="353"/>
      </c>
      <c r="T422" s="23">
        <f t="shared" si="353"/>
      </c>
      <c r="U422" s="23">
        <f t="shared" si="353"/>
      </c>
      <c r="V422" s="83">
        <f t="shared" si="353"/>
      </c>
      <c r="W422" s="25">
        <f t="shared" si="353"/>
      </c>
      <c r="X422" s="23"/>
      <c r="Y422" s="83">
        <f t="shared" si="353"/>
      </c>
      <c r="Z422" s="25">
        <f t="shared" si="353"/>
      </c>
      <c r="AA422" s="23">
        <f t="shared" si="353"/>
      </c>
      <c r="AB422" s="23">
        <f t="shared" si="353"/>
      </c>
      <c r="AC422" s="23">
        <f t="shared" si="353"/>
      </c>
      <c r="AD422" s="23">
        <f t="shared" si="353"/>
      </c>
      <c r="AE422" s="23">
        <f t="shared" si="353"/>
      </c>
      <c r="AF422" s="23">
        <f t="shared" si="353"/>
      </c>
      <c r="AG422" s="83">
        <f t="shared" si="353"/>
      </c>
      <c r="AH422" s="254"/>
      <c r="AI422" s="139"/>
      <c r="AJ422" s="140"/>
      <c r="AK422" s="143"/>
      <c r="AL422" s="143"/>
      <c r="AM422" s="132"/>
      <c r="AN422" s="130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</row>
    <row r="423" spans="1:66" ht="30.75" customHeight="1" hidden="1">
      <c r="A423" s="133"/>
      <c r="B423" s="134"/>
      <c r="C423" s="134"/>
      <c r="D423" s="134"/>
      <c r="E423" s="135"/>
      <c r="F423" s="106" t="s">
        <v>95</v>
      </c>
      <c r="G423" s="71">
        <f>VLOOKUP(завтрак1,таб,5,FALSE)</f>
        <v>0</v>
      </c>
      <c r="H423" s="26">
        <f>VLOOKUP(завтрак2,таб,5,FALSE)</f>
        <v>0</v>
      </c>
      <c r="I423" s="26"/>
      <c r="J423" s="26">
        <f>VLOOKUP(завтрак4,таб,5,FALSE)</f>
        <v>0</v>
      </c>
      <c r="K423" s="26">
        <f>VLOOKUP(завтрак5,таб,5,FALSE)</f>
        <v>0</v>
      </c>
      <c r="L423" s="116">
        <f>VLOOKUP(завтрак6,таб,5,FALSE)</f>
        <v>0</v>
      </c>
      <c r="M423" s="71">
        <f>VLOOKUP(завтрак7,таб,5,FALSE)</f>
        <v>0</v>
      </c>
      <c r="N423" s="81">
        <f>VLOOKUP(завтрак8,таб,5,FALSE)</f>
        <v>0</v>
      </c>
      <c r="O423" s="34">
        <f>VLOOKUP(обед1,таб,5,FALSE)</f>
        <v>0</v>
      </c>
      <c r="P423" s="33">
        <f>VLOOKUP(обед2,таб,5,FALSE)</f>
        <v>0</v>
      </c>
      <c r="Q423" s="33">
        <f>VLOOKUP(обед3,таб,5,FALSE)</f>
        <v>0</v>
      </c>
      <c r="R423" s="33">
        <f>VLOOKUP(обед4,таб,5,FALSE)</f>
        <v>0</v>
      </c>
      <c r="S423" s="33">
        <f>VLOOKUP(обед5,таб,5,FALSE)</f>
        <v>0</v>
      </c>
      <c r="T423" s="33">
        <f>VLOOKUP(обед6,таб,5,FALSE)</f>
        <v>0</v>
      </c>
      <c r="U423" s="33">
        <f>VLOOKUP(обед7,таб,5,FALSE)</f>
        <v>0</v>
      </c>
      <c r="V423" s="87">
        <f>VLOOKUP(обед8,таб,5,FALSE)</f>
        <v>0</v>
      </c>
      <c r="W423" s="34">
        <f>VLOOKUP(полдник1,таб,5,FALSE)</f>
        <v>0</v>
      </c>
      <c r="X423" s="33"/>
      <c r="Y423" s="87">
        <f>VLOOKUP(полдник3,таб,5,FALSE)</f>
        <v>0</v>
      </c>
      <c r="Z423" s="34">
        <f>VLOOKUP(ужин1,таб,5,FALSE)</f>
        <v>0</v>
      </c>
      <c r="AA423" s="33">
        <f>VLOOKUP(ужин2,таб,5,FALSE)</f>
        <v>0</v>
      </c>
      <c r="AB423" s="33">
        <f>VLOOKUP(ужин3,таб,5,FALSE)</f>
        <v>0</v>
      </c>
      <c r="AC423" s="33">
        <f>VLOOKUP(ужин4,таб,5,FALSE)</f>
        <v>0</v>
      </c>
      <c r="AD423" s="33">
        <f>VLOOKUP(ужин5,таб,5,FALSE)</f>
        <v>0</v>
      </c>
      <c r="AE423" s="33">
        <f>VLOOKUP(ужин6,таб,5,FALSE)</f>
        <v>0</v>
      </c>
      <c r="AF423" s="33">
        <f>VLOOKUP(ужин7,таб,5,FALSE)</f>
        <v>0</v>
      </c>
      <c r="AG423" s="87">
        <f>VLOOKUP(ужин8,таб,5,FALSE)</f>
        <v>0</v>
      </c>
      <c r="AH423" s="253"/>
      <c r="AI423" s="139">
        <f>AK423/сред</f>
        <v>0</v>
      </c>
      <c r="AJ423" s="140"/>
      <c r="AK423" s="143">
        <f>SUM(G424:AG424)</f>
        <v>0</v>
      </c>
      <c r="AL423" s="143"/>
      <c r="AM423" s="131">
        <f>IF(AK423=0,0,Таблиця!BT515)</f>
        <v>0</v>
      </c>
      <c r="AN423" s="129">
        <f>AK423*AM423</f>
        <v>0</v>
      </c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</row>
    <row r="424" spans="1:66" ht="30.75" customHeight="1" hidden="1">
      <c r="A424" s="136"/>
      <c r="B424" s="137"/>
      <c r="C424" s="137"/>
      <c r="D424" s="137"/>
      <c r="E424" s="138"/>
      <c r="F424" s="107" t="s">
        <v>96</v>
      </c>
      <c r="G424" s="75">
        <f aca="true" t="shared" si="354" ref="G424:AG424">IF(G423=0,"",завтракл*G423/1000)</f>
      </c>
      <c r="H424" s="23">
        <f t="shared" si="354"/>
      </c>
      <c r="I424" s="23"/>
      <c r="J424" s="23">
        <f t="shared" si="354"/>
      </c>
      <c r="K424" s="23">
        <f t="shared" si="354"/>
      </c>
      <c r="L424" s="122">
        <f t="shared" si="354"/>
      </c>
      <c r="M424" s="75">
        <f t="shared" si="354"/>
      </c>
      <c r="N424" s="83">
        <f t="shared" si="354"/>
      </c>
      <c r="O424" s="75">
        <f t="shared" si="354"/>
      </c>
      <c r="P424" s="23">
        <f t="shared" si="354"/>
      </c>
      <c r="Q424" s="23">
        <f t="shared" si="354"/>
      </c>
      <c r="R424" s="23">
        <f t="shared" si="354"/>
      </c>
      <c r="S424" s="23">
        <f t="shared" si="354"/>
      </c>
      <c r="T424" s="23">
        <f t="shared" si="354"/>
      </c>
      <c r="U424" s="23">
        <f t="shared" si="354"/>
      </c>
      <c r="V424" s="83">
        <f t="shared" si="354"/>
      </c>
      <c r="W424" s="25">
        <f t="shared" si="354"/>
      </c>
      <c r="X424" s="23"/>
      <c r="Y424" s="83">
        <f t="shared" si="354"/>
      </c>
      <c r="Z424" s="25">
        <f t="shared" si="354"/>
      </c>
      <c r="AA424" s="23">
        <f t="shared" si="354"/>
      </c>
      <c r="AB424" s="23">
        <f t="shared" si="354"/>
      </c>
      <c r="AC424" s="23">
        <f t="shared" si="354"/>
      </c>
      <c r="AD424" s="23">
        <f t="shared" si="354"/>
      </c>
      <c r="AE424" s="23">
        <f t="shared" si="354"/>
      </c>
      <c r="AF424" s="23">
        <f t="shared" si="354"/>
      </c>
      <c r="AG424" s="83">
        <f t="shared" si="354"/>
      </c>
      <c r="AH424" s="254"/>
      <c r="AI424" s="139"/>
      <c r="AJ424" s="140"/>
      <c r="AK424" s="143"/>
      <c r="AL424" s="143"/>
      <c r="AM424" s="132"/>
      <c r="AN424" s="130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</row>
    <row r="425" spans="1:66" ht="30.75" customHeight="1" hidden="1">
      <c r="A425" s="133"/>
      <c r="B425" s="134"/>
      <c r="C425" s="134"/>
      <c r="D425" s="134"/>
      <c r="E425" s="135"/>
      <c r="F425" s="106" t="s">
        <v>95</v>
      </c>
      <c r="G425" s="71">
        <f>VLOOKUP(завтрак1,таб,5,FALSE)</f>
        <v>0</v>
      </c>
      <c r="H425" s="26">
        <f>VLOOKUP(завтрак2,таб,5,FALSE)</f>
        <v>0</v>
      </c>
      <c r="I425" s="26"/>
      <c r="J425" s="26">
        <f>VLOOKUP(завтрак4,таб,5,FALSE)</f>
        <v>0</v>
      </c>
      <c r="K425" s="26">
        <f>VLOOKUP(завтрак5,таб,5,FALSE)</f>
        <v>0</v>
      </c>
      <c r="L425" s="116">
        <f>VLOOKUP(завтрак6,таб,5,FALSE)</f>
        <v>0</v>
      </c>
      <c r="M425" s="71">
        <f>VLOOKUP(завтрак7,таб,5,FALSE)</f>
        <v>0</v>
      </c>
      <c r="N425" s="81">
        <f>VLOOKUP(завтрак8,таб,5,FALSE)</f>
        <v>0</v>
      </c>
      <c r="O425" s="34">
        <f>VLOOKUP(обед1,таб,5,FALSE)</f>
        <v>0</v>
      </c>
      <c r="P425" s="33">
        <f>VLOOKUP(обед2,таб,5,FALSE)</f>
        <v>0</v>
      </c>
      <c r="Q425" s="33">
        <f>VLOOKUP(обед3,таб,5,FALSE)</f>
        <v>0</v>
      </c>
      <c r="R425" s="33">
        <f>VLOOKUP(обед4,таб,5,FALSE)</f>
        <v>0</v>
      </c>
      <c r="S425" s="33">
        <f>VLOOKUP(обед5,таб,5,FALSE)</f>
        <v>0</v>
      </c>
      <c r="T425" s="33">
        <f>VLOOKUP(обед6,таб,5,FALSE)</f>
        <v>0</v>
      </c>
      <c r="U425" s="33">
        <f>VLOOKUP(обед7,таб,5,FALSE)</f>
        <v>0</v>
      </c>
      <c r="V425" s="87">
        <f>VLOOKUP(обед8,таб,5,FALSE)</f>
        <v>0</v>
      </c>
      <c r="W425" s="34">
        <f>VLOOKUP(полдник1,таб,5,FALSE)</f>
        <v>0</v>
      </c>
      <c r="X425" s="33"/>
      <c r="Y425" s="87">
        <f>VLOOKUP(полдник3,таб,5,FALSE)</f>
        <v>0</v>
      </c>
      <c r="Z425" s="34">
        <f>VLOOKUP(ужин1,таб,5,FALSE)</f>
        <v>0</v>
      </c>
      <c r="AA425" s="33">
        <f>VLOOKUP(ужин2,таб,5,FALSE)</f>
        <v>0</v>
      </c>
      <c r="AB425" s="33">
        <f>VLOOKUP(ужин3,таб,5,FALSE)</f>
        <v>0</v>
      </c>
      <c r="AC425" s="33">
        <f>VLOOKUP(ужин4,таб,5,FALSE)</f>
        <v>0</v>
      </c>
      <c r="AD425" s="33">
        <f>VLOOKUP(ужин5,таб,5,FALSE)</f>
        <v>0</v>
      </c>
      <c r="AE425" s="33">
        <f>VLOOKUP(ужин6,таб,5,FALSE)</f>
        <v>0</v>
      </c>
      <c r="AF425" s="33">
        <f>VLOOKUP(ужин7,таб,5,FALSE)</f>
        <v>0</v>
      </c>
      <c r="AG425" s="87">
        <f>VLOOKUP(ужин8,таб,5,FALSE)</f>
        <v>0</v>
      </c>
      <c r="AH425" s="253"/>
      <c r="AI425" s="139">
        <f>AK425/сред</f>
        <v>0</v>
      </c>
      <c r="AJ425" s="140"/>
      <c r="AK425" s="143">
        <f>SUM(G426:AG426)</f>
        <v>0</v>
      </c>
      <c r="AL425" s="143"/>
      <c r="AM425" s="131">
        <f>IF(AK425=0,0,Таблиця!BT517)</f>
        <v>0</v>
      </c>
      <c r="AN425" s="129">
        <f>AK425*AM425</f>
        <v>0</v>
      </c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</row>
    <row r="426" spans="1:66" ht="30.75" customHeight="1" hidden="1">
      <c r="A426" s="136"/>
      <c r="B426" s="137"/>
      <c r="C426" s="137"/>
      <c r="D426" s="137"/>
      <c r="E426" s="138"/>
      <c r="F426" s="107" t="s">
        <v>96</v>
      </c>
      <c r="G426" s="75">
        <f aca="true" t="shared" si="355" ref="G426:AG426">IF(G425=0,"",завтракл*G425/1000)</f>
      </c>
      <c r="H426" s="23">
        <f t="shared" si="355"/>
      </c>
      <c r="I426" s="23"/>
      <c r="J426" s="23">
        <f t="shared" si="355"/>
      </c>
      <c r="K426" s="23">
        <f t="shared" si="355"/>
      </c>
      <c r="L426" s="122">
        <f t="shared" si="355"/>
      </c>
      <c r="M426" s="75">
        <f t="shared" si="355"/>
      </c>
      <c r="N426" s="83">
        <f t="shared" si="355"/>
      </c>
      <c r="O426" s="75">
        <f t="shared" si="355"/>
      </c>
      <c r="P426" s="23">
        <f t="shared" si="355"/>
      </c>
      <c r="Q426" s="23">
        <f t="shared" si="355"/>
      </c>
      <c r="R426" s="23">
        <f t="shared" si="355"/>
      </c>
      <c r="S426" s="23">
        <f t="shared" si="355"/>
      </c>
      <c r="T426" s="23">
        <f t="shared" si="355"/>
      </c>
      <c r="U426" s="23">
        <f t="shared" si="355"/>
      </c>
      <c r="V426" s="83">
        <f t="shared" si="355"/>
      </c>
      <c r="W426" s="25">
        <f t="shared" si="355"/>
      </c>
      <c r="X426" s="23"/>
      <c r="Y426" s="83">
        <f t="shared" si="355"/>
      </c>
      <c r="Z426" s="25">
        <f t="shared" si="355"/>
      </c>
      <c r="AA426" s="23">
        <f t="shared" si="355"/>
      </c>
      <c r="AB426" s="23">
        <f t="shared" si="355"/>
      </c>
      <c r="AC426" s="23">
        <f t="shared" si="355"/>
      </c>
      <c r="AD426" s="23">
        <f t="shared" si="355"/>
      </c>
      <c r="AE426" s="23">
        <f t="shared" si="355"/>
      </c>
      <c r="AF426" s="23">
        <f t="shared" si="355"/>
      </c>
      <c r="AG426" s="83">
        <f t="shared" si="355"/>
      </c>
      <c r="AH426" s="254"/>
      <c r="AI426" s="139"/>
      <c r="AJ426" s="140"/>
      <c r="AK426" s="143"/>
      <c r="AL426" s="143"/>
      <c r="AM426" s="132"/>
      <c r="AN426" s="130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</row>
    <row r="427" spans="1:66" ht="30.75" customHeight="1" hidden="1">
      <c r="A427" s="133"/>
      <c r="B427" s="134"/>
      <c r="C427" s="134"/>
      <c r="D427" s="134"/>
      <c r="E427" s="135"/>
      <c r="F427" s="106" t="s">
        <v>95</v>
      </c>
      <c r="G427" s="71">
        <f>VLOOKUP(завтрак1,таб,5,FALSE)</f>
        <v>0</v>
      </c>
      <c r="H427" s="26">
        <f>VLOOKUP(завтрак2,таб,5,FALSE)</f>
        <v>0</v>
      </c>
      <c r="I427" s="26"/>
      <c r="J427" s="26">
        <f>VLOOKUP(завтрак4,таб,5,FALSE)</f>
        <v>0</v>
      </c>
      <c r="K427" s="26">
        <f>VLOOKUP(завтрак5,таб,5,FALSE)</f>
        <v>0</v>
      </c>
      <c r="L427" s="116">
        <f>VLOOKUP(завтрак6,таб,5,FALSE)</f>
        <v>0</v>
      </c>
      <c r="M427" s="71">
        <f>VLOOKUP(завтрак7,таб,5,FALSE)</f>
        <v>0</v>
      </c>
      <c r="N427" s="81">
        <f>VLOOKUP(завтрак8,таб,5,FALSE)</f>
        <v>0</v>
      </c>
      <c r="O427" s="34">
        <f>VLOOKUP(обед1,таб,5,FALSE)</f>
        <v>0</v>
      </c>
      <c r="P427" s="33">
        <f>VLOOKUP(обед2,таб,5,FALSE)</f>
        <v>0</v>
      </c>
      <c r="Q427" s="33">
        <f>VLOOKUP(обед3,таб,5,FALSE)</f>
        <v>0</v>
      </c>
      <c r="R427" s="33">
        <f>VLOOKUP(обед4,таб,5,FALSE)</f>
        <v>0</v>
      </c>
      <c r="S427" s="33">
        <f>VLOOKUP(обед5,таб,5,FALSE)</f>
        <v>0</v>
      </c>
      <c r="T427" s="33">
        <f>VLOOKUP(обед6,таб,5,FALSE)</f>
        <v>0</v>
      </c>
      <c r="U427" s="33">
        <f>VLOOKUP(обед7,таб,5,FALSE)</f>
        <v>0</v>
      </c>
      <c r="V427" s="87">
        <f>VLOOKUP(обед8,таб,5,FALSE)</f>
        <v>0</v>
      </c>
      <c r="W427" s="34">
        <f>VLOOKUP(полдник1,таб,5,FALSE)</f>
        <v>0</v>
      </c>
      <c r="X427" s="33"/>
      <c r="Y427" s="87">
        <f>VLOOKUP(полдник3,таб,5,FALSE)</f>
        <v>0</v>
      </c>
      <c r="Z427" s="34">
        <f>VLOOKUP(ужин1,таб,5,FALSE)</f>
        <v>0</v>
      </c>
      <c r="AA427" s="33">
        <f>VLOOKUP(ужин2,таб,5,FALSE)</f>
        <v>0</v>
      </c>
      <c r="AB427" s="33">
        <f>VLOOKUP(ужин3,таб,5,FALSE)</f>
        <v>0</v>
      </c>
      <c r="AC427" s="33">
        <f>VLOOKUP(ужин4,таб,5,FALSE)</f>
        <v>0</v>
      </c>
      <c r="AD427" s="33">
        <f>VLOOKUP(ужин5,таб,5,FALSE)</f>
        <v>0</v>
      </c>
      <c r="AE427" s="33">
        <f>VLOOKUP(ужин6,таб,5,FALSE)</f>
        <v>0</v>
      </c>
      <c r="AF427" s="33">
        <f>VLOOKUP(ужин7,таб,5,FALSE)</f>
        <v>0</v>
      </c>
      <c r="AG427" s="87">
        <f>VLOOKUP(ужин8,таб,5,FALSE)</f>
        <v>0</v>
      </c>
      <c r="AH427" s="253"/>
      <c r="AI427" s="139">
        <f>AK427/сред</f>
        <v>0</v>
      </c>
      <c r="AJ427" s="140"/>
      <c r="AK427" s="143">
        <f>SUM(G428:AG428)</f>
        <v>0</v>
      </c>
      <c r="AL427" s="143"/>
      <c r="AM427" s="131">
        <f>IF(AK427=0,0,Таблиця!BT519)</f>
        <v>0</v>
      </c>
      <c r="AN427" s="129">
        <f>AK427*AM427</f>
        <v>0</v>
      </c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</row>
    <row r="428" spans="1:66" ht="30.75" customHeight="1" hidden="1">
      <c r="A428" s="136"/>
      <c r="B428" s="137"/>
      <c r="C428" s="137"/>
      <c r="D428" s="137"/>
      <c r="E428" s="138"/>
      <c r="F428" s="107" t="s">
        <v>96</v>
      </c>
      <c r="G428" s="75">
        <f aca="true" t="shared" si="356" ref="G428:AG428">IF(G427=0,"",завтракл*G427/1000)</f>
      </c>
      <c r="H428" s="23">
        <f t="shared" si="356"/>
      </c>
      <c r="I428" s="23"/>
      <c r="J428" s="23">
        <f t="shared" si="356"/>
      </c>
      <c r="K428" s="23">
        <f t="shared" si="356"/>
      </c>
      <c r="L428" s="122">
        <f t="shared" si="356"/>
      </c>
      <c r="M428" s="75">
        <f t="shared" si="356"/>
      </c>
      <c r="N428" s="83">
        <f t="shared" si="356"/>
      </c>
      <c r="O428" s="75">
        <f t="shared" si="356"/>
      </c>
      <c r="P428" s="23">
        <f t="shared" si="356"/>
      </c>
      <c r="Q428" s="23">
        <f t="shared" si="356"/>
      </c>
      <c r="R428" s="23">
        <f t="shared" si="356"/>
      </c>
      <c r="S428" s="23">
        <f t="shared" si="356"/>
      </c>
      <c r="T428" s="23">
        <f t="shared" si="356"/>
      </c>
      <c r="U428" s="23">
        <f t="shared" si="356"/>
      </c>
      <c r="V428" s="83">
        <f t="shared" si="356"/>
      </c>
      <c r="W428" s="25">
        <f t="shared" si="356"/>
      </c>
      <c r="X428" s="23"/>
      <c r="Y428" s="83">
        <f t="shared" si="356"/>
      </c>
      <c r="Z428" s="25">
        <f t="shared" si="356"/>
      </c>
      <c r="AA428" s="23">
        <f t="shared" si="356"/>
      </c>
      <c r="AB428" s="23">
        <f t="shared" si="356"/>
      </c>
      <c r="AC428" s="23">
        <f t="shared" si="356"/>
      </c>
      <c r="AD428" s="23">
        <f t="shared" si="356"/>
      </c>
      <c r="AE428" s="23">
        <f t="shared" si="356"/>
      </c>
      <c r="AF428" s="23">
        <f t="shared" si="356"/>
      </c>
      <c r="AG428" s="83">
        <f t="shared" si="356"/>
      </c>
      <c r="AH428" s="254"/>
      <c r="AI428" s="139"/>
      <c r="AJ428" s="140"/>
      <c r="AK428" s="143"/>
      <c r="AL428" s="143"/>
      <c r="AM428" s="132"/>
      <c r="AN428" s="130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</row>
    <row r="429" spans="1:66" ht="30.75" customHeight="1" hidden="1">
      <c r="A429" s="133"/>
      <c r="B429" s="134"/>
      <c r="C429" s="134"/>
      <c r="D429" s="134"/>
      <c r="E429" s="135"/>
      <c r="F429" s="106" t="s">
        <v>95</v>
      </c>
      <c r="G429" s="71">
        <f>VLOOKUP(завтрак1,таб,5,FALSE)</f>
        <v>0</v>
      </c>
      <c r="H429" s="26">
        <f>VLOOKUP(завтрак2,таб,5,FALSE)</f>
        <v>0</v>
      </c>
      <c r="I429" s="26"/>
      <c r="J429" s="26">
        <f>VLOOKUP(завтрак4,таб,5,FALSE)</f>
        <v>0</v>
      </c>
      <c r="K429" s="26">
        <f>VLOOKUP(завтрак5,таб,5,FALSE)</f>
        <v>0</v>
      </c>
      <c r="L429" s="116">
        <f>VLOOKUP(завтрак6,таб,5,FALSE)</f>
        <v>0</v>
      </c>
      <c r="M429" s="71">
        <f>VLOOKUP(завтрак7,таб,5,FALSE)</f>
        <v>0</v>
      </c>
      <c r="N429" s="81">
        <f>VLOOKUP(завтрак8,таб,5,FALSE)</f>
        <v>0</v>
      </c>
      <c r="O429" s="34">
        <f>VLOOKUP(обед1,таб,5,FALSE)</f>
        <v>0</v>
      </c>
      <c r="P429" s="33">
        <f>VLOOKUP(обед2,таб,5,FALSE)</f>
        <v>0</v>
      </c>
      <c r="Q429" s="33">
        <f>VLOOKUP(обед3,таб,5,FALSE)</f>
        <v>0</v>
      </c>
      <c r="R429" s="33">
        <f>VLOOKUP(обед4,таб,5,FALSE)</f>
        <v>0</v>
      </c>
      <c r="S429" s="33">
        <f>VLOOKUP(обед5,таб,5,FALSE)</f>
        <v>0</v>
      </c>
      <c r="T429" s="33">
        <f>VLOOKUP(обед6,таб,5,FALSE)</f>
        <v>0</v>
      </c>
      <c r="U429" s="33">
        <f>VLOOKUP(обед7,таб,5,FALSE)</f>
        <v>0</v>
      </c>
      <c r="V429" s="87">
        <f>VLOOKUP(обед8,таб,5,FALSE)</f>
        <v>0</v>
      </c>
      <c r="W429" s="34">
        <f>VLOOKUP(полдник1,таб,5,FALSE)</f>
        <v>0</v>
      </c>
      <c r="X429" s="33"/>
      <c r="Y429" s="87">
        <f>VLOOKUP(полдник3,таб,5,FALSE)</f>
        <v>0</v>
      </c>
      <c r="Z429" s="34">
        <f>VLOOKUP(ужин1,таб,5,FALSE)</f>
        <v>0</v>
      </c>
      <c r="AA429" s="33">
        <f>VLOOKUP(ужин2,таб,5,FALSE)</f>
        <v>0</v>
      </c>
      <c r="AB429" s="33">
        <f>VLOOKUP(ужин3,таб,5,FALSE)</f>
        <v>0</v>
      </c>
      <c r="AC429" s="33">
        <f>VLOOKUP(ужин4,таб,5,FALSE)</f>
        <v>0</v>
      </c>
      <c r="AD429" s="33">
        <f>VLOOKUP(ужин5,таб,5,FALSE)</f>
        <v>0</v>
      </c>
      <c r="AE429" s="33">
        <f>VLOOKUP(ужин6,таб,5,FALSE)</f>
        <v>0</v>
      </c>
      <c r="AF429" s="33">
        <f>VLOOKUP(ужин7,таб,5,FALSE)</f>
        <v>0</v>
      </c>
      <c r="AG429" s="87">
        <f>VLOOKUP(ужин8,таб,5,FALSE)</f>
        <v>0</v>
      </c>
      <c r="AH429" s="253"/>
      <c r="AI429" s="139">
        <f>AK429/сред</f>
        <v>0</v>
      </c>
      <c r="AJ429" s="140"/>
      <c r="AK429" s="143">
        <f>SUM(G430:AG430)</f>
        <v>0</v>
      </c>
      <c r="AL429" s="143"/>
      <c r="AM429" s="131">
        <f>IF(AK429=0,0,Таблиця!BT521)</f>
        <v>0</v>
      </c>
      <c r="AN429" s="129">
        <f>AK429*AM429</f>
        <v>0</v>
      </c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</row>
    <row r="430" spans="1:66" ht="30.75" customHeight="1" hidden="1">
      <c r="A430" s="136"/>
      <c r="B430" s="137"/>
      <c r="C430" s="137"/>
      <c r="D430" s="137"/>
      <c r="E430" s="138"/>
      <c r="F430" s="107" t="s">
        <v>96</v>
      </c>
      <c r="G430" s="75">
        <f aca="true" t="shared" si="357" ref="G430:AG430">IF(G429=0,"",завтракл*G429/1000)</f>
      </c>
      <c r="H430" s="23">
        <f t="shared" si="357"/>
      </c>
      <c r="I430" s="23"/>
      <c r="J430" s="23">
        <f t="shared" si="357"/>
      </c>
      <c r="K430" s="23">
        <f t="shared" si="357"/>
      </c>
      <c r="L430" s="122">
        <f t="shared" si="357"/>
      </c>
      <c r="M430" s="75">
        <f t="shared" si="357"/>
      </c>
      <c r="N430" s="83">
        <f t="shared" si="357"/>
      </c>
      <c r="O430" s="75">
        <f t="shared" si="357"/>
      </c>
      <c r="P430" s="23">
        <f t="shared" si="357"/>
      </c>
      <c r="Q430" s="23">
        <f t="shared" si="357"/>
      </c>
      <c r="R430" s="23">
        <f t="shared" si="357"/>
      </c>
      <c r="S430" s="23">
        <f t="shared" si="357"/>
      </c>
      <c r="T430" s="23">
        <f t="shared" si="357"/>
      </c>
      <c r="U430" s="23">
        <f t="shared" si="357"/>
      </c>
      <c r="V430" s="83">
        <f t="shared" si="357"/>
      </c>
      <c r="W430" s="25">
        <f t="shared" si="357"/>
      </c>
      <c r="X430" s="23"/>
      <c r="Y430" s="83">
        <f t="shared" si="357"/>
      </c>
      <c r="Z430" s="25">
        <f t="shared" si="357"/>
      </c>
      <c r="AA430" s="23">
        <f t="shared" si="357"/>
      </c>
      <c r="AB430" s="23">
        <f t="shared" si="357"/>
      </c>
      <c r="AC430" s="23">
        <f t="shared" si="357"/>
      </c>
      <c r="AD430" s="23">
        <f t="shared" si="357"/>
      </c>
      <c r="AE430" s="23">
        <f t="shared" si="357"/>
      </c>
      <c r="AF430" s="23">
        <f t="shared" si="357"/>
      </c>
      <c r="AG430" s="83">
        <f t="shared" si="357"/>
      </c>
      <c r="AH430" s="254"/>
      <c r="AI430" s="139"/>
      <c r="AJ430" s="140"/>
      <c r="AK430" s="143"/>
      <c r="AL430" s="143"/>
      <c r="AM430" s="132"/>
      <c r="AN430" s="130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</row>
    <row r="431" spans="1:66" ht="30.75" customHeight="1" hidden="1">
      <c r="A431" s="133"/>
      <c r="B431" s="134"/>
      <c r="C431" s="134"/>
      <c r="D431" s="134"/>
      <c r="E431" s="135"/>
      <c r="F431" s="106" t="s">
        <v>95</v>
      </c>
      <c r="G431" s="71">
        <f>VLOOKUP(завтрак1,таб,5,FALSE)</f>
        <v>0</v>
      </c>
      <c r="H431" s="26">
        <f>VLOOKUP(завтрак2,таб,5,FALSE)</f>
        <v>0</v>
      </c>
      <c r="I431" s="26"/>
      <c r="J431" s="26">
        <f>VLOOKUP(завтрак4,таб,5,FALSE)</f>
        <v>0</v>
      </c>
      <c r="K431" s="26">
        <f>VLOOKUP(завтрак5,таб,5,FALSE)</f>
        <v>0</v>
      </c>
      <c r="L431" s="116">
        <f>VLOOKUP(завтрак6,таб,5,FALSE)</f>
        <v>0</v>
      </c>
      <c r="M431" s="71">
        <f>VLOOKUP(завтрак7,таб,5,FALSE)</f>
        <v>0</v>
      </c>
      <c r="N431" s="81">
        <f>VLOOKUP(завтрак8,таб,5,FALSE)</f>
        <v>0</v>
      </c>
      <c r="O431" s="34">
        <f>VLOOKUP(обед1,таб,5,FALSE)</f>
        <v>0</v>
      </c>
      <c r="P431" s="33">
        <f>VLOOKUP(обед2,таб,5,FALSE)</f>
        <v>0</v>
      </c>
      <c r="Q431" s="33">
        <f>VLOOKUP(обед3,таб,5,FALSE)</f>
        <v>0</v>
      </c>
      <c r="R431" s="33">
        <f>VLOOKUP(обед4,таб,5,FALSE)</f>
        <v>0</v>
      </c>
      <c r="S431" s="33">
        <f>VLOOKUP(обед5,таб,5,FALSE)</f>
        <v>0</v>
      </c>
      <c r="T431" s="33">
        <f>VLOOKUP(обед6,таб,5,FALSE)</f>
        <v>0</v>
      </c>
      <c r="U431" s="33">
        <f>VLOOKUP(обед7,таб,5,FALSE)</f>
        <v>0</v>
      </c>
      <c r="V431" s="87">
        <f>VLOOKUP(обед8,таб,5,FALSE)</f>
        <v>0</v>
      </c>
      <c r="W431" s="34">
        <f>VLOOKUP(полдник1,таб,5,FALSE)</f>
        <v>0</v>
      </c>
      <c r="X431" s="33"/>
      <c r="Y431" s="87">
        <f>VLOOKUP(полдник3,таб,5,FALSE)</f>
        <v>0</v>
      </c>
      <c r="Z431" s="34">
        <f>VLOOKUP(ужин1,таб,5,FALSE)</f>
        <v>0</v>
      </c>
      <c r="AA431" s="33">
        <f>VLOOKUP(ужин2,таб,5,FALSE)</f>
        <v>0</v>
      </c>
      <c r="AB431" s="33">
        <f>VLOOKUP(ужин3,таб,5,FALSE)</f>
        <v>0</v>
      </c>
      <c r="AC431" s="33">
        <f>VLOOKUP(ужин4,таб,5,FALSE)</f>
        <v>0</v>
      </c>
      <c r="AD431" s="33">
        <f>VLOOKUP(ужин5,таб,5,FALSE)</f>
        <v>0</v>
      </c>
      <c r="AE431" s="33">
        <f>VLOOKUP(ужин6,таб,5,FALSE)</f>
        <v>0</v>
      </c>
      <c r="AF431" s="33">
        <f>VLOOKUP(ужин7,таб,5,FALSE)</f>
        <v>0</v>
      </c>
      <c r="AG431" s="87">
        <f>VLOOKUP(ужин8,таб,5,FALSE)</f>
        <v>0</v>
      </c>
      <c r="AH431" s="253"/>
      <c r="AI431" s="139">
        <f>AK431/сред</f>
        <v>0</v>
      </c>
      <c r="AJ431" s="140"/>
      <c r="AK431" s="143">
        <f>SUM(G432:AG432)</f>
        <v>0</v>
      </c>
      <c r="AL431" s="143"/>
      <c r="AM431" s="131">
        <f>IF(AK431=0,0,Таблиця!BT523)</f>
        <v>0</v>
      </c>
      <c r="AN431" s="129">
        <f>AK431*AM431</f>
        <v>0</v>
      </c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</row>
    <row r="432" spans="1:66" ht="30.75" customHeight="1" hidden="1">
      <c r="A432" s="136"/>
      <c r="B432" s="137"/>
      <c r="C432" s="137"/>
      <c r="D432" s="137"/>
      <c r="E432" s="138"/>
      <c r="F432" s="107" t="s">
        <v>96</v>
      </c>
      <c r="G432" s="75">
        <f aca="true" t="shared" si="358" ref="G432:AG432">IF(G431=0,"",завтракл*G431/1000)</f>
      </c>
      <c r="H432" s="23">
        <f t="shared" si="358"/>
      </c>
      <c r="I432" s="23"/>
      <c r="J432" s="23">
        <f t="shared" si="358"/>
      </c>
      <c r="K432" s="23">
        <f t="shared" si="358"/>
      </c>
      <c r="L432" s="122">
        <f t="shared" si="358"/>
      </c>
      <c r="M432" s="75">
        <f t="shared" si="358"/>
      </c>
      <c r="N432" s="83">
        <f t="shared" si="358"/>
      </c>
      <c r="O432" s="75">
        <f t="shared" si="358"/>
      </c>
      <c r="P432" s="23">
        <f t="shared" si="358"/>
      </c>
      <c r="Q432" s="23">
        <f t="shared" si="358"/>
      </c>
      <c r="R432" s="23">
        <f t="shared" si="358"/>
      </c>
      <c r="S432" s="23">
        <f t="shared" si="358"/>
      </c>
      <c r="T432" s="23">
        <f t="shared" si="358"/>
      </c>
      <c r="U432" s="23">
        <f t="shared" si="358"/>
      </c>
      <c r="V432" s="83">
        <f t="shared" si="358"/>
      </c>
      <c r="W432" s="25">
        <f t="shared" si="358"/>
      </c>
      <c r="X432" s="23"/>
      <c r="Y432" s="83">
        <f t="shared" si="358"/>
      </c>
      <c r="Z432" s="25">
        <f t="shared" si="358"/>
      </c>
      <c r="AA432" s="23">
        <f t="shared" si="358"/>
      </c>
      <c r="AB432" s="23">
        <f t="shared" si="358"/>
      </c>
      <c r="AC432" s="23">
        <f t="shared" si="358"/>
      </c>
      <c r="AD432" s="23">
        <f t="shared" si="358"/>
      </c>
      <c r="AE432" s="23">
        <f t="shared" si="358"/>
      </c>
      <c r="AF432" s="23">
        <f t="shared" si="358"/>
      </c>
      <c r="AG432" s="83">
        <f t="shared" si="358"/>
      </c>
      <c r="AH432" s="254"/>
      <c r="AI432" s="139"/>
      <c r="AJ432" s="140"/>
      <c r="AK432" s="143"/>
      <c r="AL432" s="143"/>
      <c r="AM432" s="132"/>
      <c r="AN432" s="130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</row>
    <row r="433" spans="1:66" ht="30.75" customHeight="1" hidden="1">
      <c r="A433" s="133"/>
      <c r="B433" s="134"/>
      <c r="C433" s="134"/>
      <c r="D433" s="134"/>
      <c r="E433" s="135"/>
      <c r="F433" s="106" t="s">
        <v>95</v>
      </c>
      <c r="G433" s="71">
        <f>VLOOKUP(завтрак1,таб,5,FALSE)</f>
        <v>0</v>
      </c>
      <c r="H433" s="26">
        <f>VLOOKUP(завтрак2,таб,5,FALSE)</f>
        <v>0</v>
      </c>
      <c r="I433" s="26"/>
      <c r="J433" s="26">
        <f>VLOOKUP(завтрак4,таб,5,FALSE)</f>
        <v>0</v>
      </c>
      <c r="K433" s="26">
        <f>VLOOKUP(завтрак5,таб,5,FALSE)</f>
        <v>0</v>
      </c>
      <c r="L433" s="116">
        <f>VLOOKUP(завтрак6,таб,5,FALSE)</f>
        <v>0</v>
      </c>
      <c r="M433" s="71">
        <f>VLOOKUP(завтрак7,таб,5,FALSE)</f>
        <v>0</v>
      </c>
      <c r="N433" s="81">
        <f>VLOOKUP(завтрак8,таб,5,FALSE)</f>
        <v>0</v>
      </c>
      <c r="O433" s="34">
        <f>VLOOKUP(обед1,таб,5,FALSE)</f>
        <v>0</v>
      </c>
      <c r="P433" s="33">
        <f>VLOOKUP(обед2,таб,5,FALSE)</f>
        <v>0</v>
      </c>
      <c r="Q433" s="33">
        <f>VLOOKUP(обед3,таб,5,FALSE)</f>
        <v>0</v>
      </c>
      <c r="R433" s="33">
        <f>VLOOKUP(обед4,таб,5,FALSE)</f>
        <v>0</v>
      </c>
      <c r="S433" s="33">
        <f>VLOOKUP(обед5,таб,5,FALSE)</f>
        <v>0</v>
      </c>
      <c r="T433" s="33">
        <f>VLOOKUP(обед6,таб,5,FALSE)</f>
        <v>0</v>
      </c>
      <c r="U433" s="33">
        <f>VLOOKUP(обед7,таб,5,FALSE)</f>
        <v>0</v>
      </c>
      <c r="V433" s="87">
        <f>VLOOKUP(обед8,таб,5,FALSE)</f>
        <v>0</v>
      </c>
      <c r="W433" s="34">
        <f>VLOOKUP(полдник1,таб,5,FALSE)</f>
        <v>0</v>
      </c>
      <c r="X433" s="33"/>
      <c r="Y433" s="87">
        <f>VLOOKUP(полдник3,таб,5,FALSE)</f>
        <v>0</v>
      </c>
      <c r="Z433" s="34">
        <f>VLOOKUP(ужин1,таб,5,FALSE)</f>
        <v>0</v>
      </c>
      <c r="AA433" s="33">
        <f>VLOOKUP(ужин2,таб,5,FALSE)</f>
        <v>0</v>
      </c>
      <c r="AB433" s="33">
        <f>VLOOKUP(ужин3,таб,5,FALSE)</f>
        <v>0</v>
      </c>
      <c r="AC433" s="33">
        <f>VLOOKUP(ужин4,таб,5,FALSE)</f>
        <v>0</v>
      </c>
      <c r="AD433" s="33">
        <f>VLOOKUP(ужин5,таб,5,FALSE)</f>
        <v>0</v>
      </c>
      <c r="AE433" s="33">
        <f>VLOOKUP(ужин6,таб,5,FALSE)</f>
        <v>0</v>
      </c>
      <c r="AF433" s="33">
        <f>VLOOKUP(ужин7,таб,5,FALSE)</f>
        <v>0</v>
      </c>
      <c r="AG433" s="87">
        <f>VLOOKUP(ужин8,таб,5,FALSE)</f>
        <v>0</v>
      </c>
      <c r="AH433" s="253"/>
      <c r="AI433" s="139">
        <f>AK433/сред</f>
        <v>0</v>
      </c>
      <c r="AJ433" s="140"/>
      <c r="AK433" s="143">
        <f>SUM(G434:AG434)</f>
        <v>0</v>
      </c>
      <c r="AL433" s="143"/>
      <c r="AM433" s="131">
        <f>IF(AK433=0,0,Таблиця!BT525)</f>
        <v>0</v>
      </c>
      <c r="AN433" s="129">
        <f>AK433*AM433</f>
        <v>0</v>
      </c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</row>
    <row r="434" spans="1:66" ht="30.75" customHeight="1" hidden="1">
      <c r="A434" s="136"/>
      <c r="B434" s="137"/>
      <c r="C434" s="137"/>
      <c r="D434" s="137"/>
      <c r="E434" s="138"/>
      <c r="F434" s="107" t="s">
        <v>96</v>
      </c>
      <c r="G434" s="75">
        <f aca="true" t="shared" si="359" ref="G434:AG434">IF(G433=0,"",завтракл*G433/1000)</f>
      </c>
      <c r="H434" s="23">
        <f t="shared" si="359"/>
      </c>
      <c r="I434" s="23"/>
      <c r="J434" s="23">
        <f t="shared" si="359"/>
      </c>
      <c r="K434" s="23">
        <f t="shared" si="359"/>
      </c>
      <c r="L434" s="122">
        <f t="shared" si="359"/>
      </c>
      <c r="M434" s="75">
        <f t="shared" si="359"/>
      </c>
      <c r="N434" s="83">
        <f t="shared" si="359"/>
      </c>
      <c r="O434" s="75">
        <f t="shared" si="359"/>
      </c>
      <c r="P434" s="23">
        <f t="shared" si="359"/>
      </c>
      <c r="Q434" s="23">
        <f t="shared" si="359"/>
      </c>
      <c r="R434" s="23">
        <f t="shared" si="359"/>
      </c>
      <c r="S434" s="23">
        <f t="shared" si="359"/>
      </c>
      <c r="T434" s="23">
        <f t="shared" si="359"/>
      </c>
      <c r="U434" s="23">
        <f t="shared" si="359"/>
      </c>
      <c r="V434" s="83">
        <f t="shared" si="359"/>
      </c>
      <c r="W434" s="25">
        <f t="shared" si="359"/>
      </c>
      <c r="X434" s="23"/>
      <c r="Y434" s="83">
        <f t="shared" si="359"/>
      </c>
      <c r="Z434" s="25">
        <f t="shared" si="359"/>
      </c>
      <c r="AA434" s="23">
        <f t="shared" si="359"/>
      </c>
      <c r="AB434" s="23">
        <f t="shared" si="359"/>
      </c>
      <c r="AC434" s="23">
        <f t="shared" si="359"/>
      </c>
      <c r="AD434" s="23">
        <f t="shared" si="359"/>
      </c>
      <c r="AE434" s="23">
        <f t="shared" si="359"/>
      </c>
      <c r="AF434" s="23">
        <f t="shared" si="359"/>
      </c>
      <c r="AG434" s="83">
        <f t="shared" si="359"/>
      </c>
      <c r="AH434" s="254"/>
      <c r="AI434" s="139"/>
      <c r="AJ434" s="140"/>
      <c r="AK434" s="143"/>
      <c r="AL434" s="143"/>
      <c r="AM434" s="132"/>
      <c r="AN434" s="130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</row>
    <row r="435" spans="1:66" ht="30.75" customHeight="1" hidden="1">
      <c r="A435" s="133"/>
      <c r="B435" s="134"/>
      <c r="C435" s="134"/>
      <c r="D435" s="134"/>
      <c r="E435" s="135"/>
      <c r="F435" s="106" t="s">
        <v>95</v>
      </c>
      <c r="G435" s="71">
        <f>VLOOKUP(завтрак1,таб,5,FALSE)</f>
        <v>0</v>
      </c>
      <c r="H435" s="26">
        <f>VLOOKUP(завтрак2,таб,5,FALSE)</f>
        <v>0</v>
      </c>
      <c r="I435" s="26"/>
      <c r="J435" s="26">
        <f>VLOOKUP(завтрак4,таб,5,FALSE)</f>
        <v>0</v>
      </c>
      <c r="K435" s="26">
        <f>VLOOKUP(завтрак5,таб,5,FALSE)</f>
        <v>0</v>
      </c>
      <c r="L435" s="116">
        <f>VLOOKUP(завтрак6,таб,5,FALSE)</f>
        <v>0</v>
      </c>
      <c r="M435" s="71">
        <f>VLOOKUP(завтрак7,таб,5,FALSE)</f>
        <v>0</v>
      </c>
      <c r="N435" s="81">
        <f>VLOOKUP(завтрак8,таб,5,FALSE)</f>
        <v>0</v>
      </c>
      <c r="O435" s="34">
        <f>VLOOKUP(обед1,таб,5,FALSE)</f>
        <v>0</v>
      </c>
      <c r="P435" s="33">
        <f>VLOOKUP(обед2,таб,5,FALSE)</f>
        <v>0</v>
      </c>
      <c r="Q435" s="33">
        <f>VLOOKUP(обед3,таб,5,FALSE)</f>
        <v>0</v>
      </c>
      <c r="R435" s="33">
        <f>VLOOKUP(обед4,таб,5,FALSE)</f>
        <v>0</v>
      </c>
      <c r="S435" s="33">
        <f>VLOOKUP(обед5,таб,5,FALSE)</f>
        <v>0</v>
      </c>
      <c r="T435" s="33">
        <f>VLOOKUP(обед6,таб,5,FALSE)</f>
        <v>0</v>
      </c>
      <c r="U435" s="33">
        <f>VLOOKUP(обед7,таб,5,FALSE)</f>
        <v>0</v>
      </c>
      <c r="V435" s="87">
        <f>VLOOKUP(обед8,таб,5,FALSE)</f>
        <v>0</v>
      </c>
      <c r="W435" s="34">
        <f>VLOOKUP(полдник1,таб,5,FALSE)</f>
        <v>0</v>
      </c>
      <c r="X435" s="33"/>
      <c r="Y435" s="87">
        <f>VLOOKUP(полдник3,таб,5,FALSE)</f>
        <v>0</v>
      </c>
      <c r="Z435" s="34">
        <f>VLOOKUP(ужин1,таб,5,FALSE)</f>
        <v>0</v>
      </c>
      <c r="AA435" s="33">
        <f>VLOOKUP(ужин2,таб,5,FALSE)</f>
        <v>0</v>
      </c>
      <c r="AB435" s="33">
        <f>VLOOKUP(ужин3,таб,5,FALSE)</f>
        <v>0</v>
      </c>
      <c r="AC435" s="33">
        <f>VLOOKUP(ужин4,таб,5,FALSE)</f>
        <v>0</v>
      </c>
      <c r="AD435" s="33">
        <f>VLOOKUP(ужин5,таб,5,FALSE)</f>
        <v>0</v>
      </c>
      <c r="AE435" s="33">
        <f>VLOOKUP(ужин6,таб,5,FALSE)</f>
        <v>0</v>
      </c>
      <c r="AF435" s="33">
        <f>VLOOKUP(ужин7,таб,5,FALSE)</f>
        <v>0</v>
      </c>
      <c r="AG435" s="87">
        <f>VLOOKUP(ужин8,таб,5,FALSE)</f>
        <v>0</v>
      </c>
      <c r="AH435" s="253"/>
      <c r="AI435" s="139">
        <f>AK435/сред</f>
        <v>0</v>
      </c>
      <c r="AJ435" s="140"/>
      <c r="AK435" s="143">
        <f>SUM(G436:AG436)</f>
        <v>0</v>
      </c>
      <c r="AL435" s="143"/>
      <c r="AM435" s="131">
        <f>IF(AK435=0,0,Таблиця!BT527)</f>
        <v>0</v>
      </c>
      <c r="AN435" s="129">
        <f>AK435*AM435</f>
        <v>0</v>
      </c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</row>
    <row r="436" spans="1:66" ht="30.75" customHeight="1" hidden="1">
      <c r="A436" s="136"/>
      <c r="B436" s="137"/>
      <c r="C436" s="137"/>
      <c r="D436" s="137"/>
      <c r="E436" s="138"/>
      <c r="F436" s="107" t="s">
        <v>96</v>
      </c>
      <c r="G436" s="75">
        <f aca="true" t="shared" si="360" ref="G436:AG436">IF(G435=0,"",завтракл*G435/1000)</f>
      </c>
      <c r="H436" s="23">
        <f t="shared" si="360"/>
      </c>
      <c r="I436" s="23"/>
      <c r="J436" s="23">
        <f t="shared" si="360"/>
      </c>
      <c r="K436" s="23">
        <f t="shared" si="360"/>
      </c>
      <c r="L436" s="122">
        <f t="shared" si="360"/>
      </c>
      <c r="M436" s="75">
        <f t="shared" si="360"/>
      </c>
      <c r="N436" s="83">
        <f t="shared" si="360"/>
      </c>
      <c r="O436" s="75">
        <f t="shared" si="360"/>
      </c>
      <c r="P436" s="23">
        <f t="shared" si="360"/>
      </c>
      <c r="Q436" s="23">
        <f t="shared" si="360"/>
      </c>
      <c r="R436" s="23">
        <f t="shared" si="360"/>
      </c>
      <c r="S436" s="23">
        <f t="shared" si="360"/>
      </c>
      <c r="T436" s="23">
        <f t="shared" si="360"/>
      </c>
      <c r="U436" s="23">
        <f t="shared" si="360"/>
      </c>
      <c r="V436" s="83">
        <f t="shared" si="360"/>
      </c>
      <c r="W436" s="25">
        <f t="shared" si="360"/>
      </c>
      <c r="X436" s="23"/>
      <c r="Y436" s="83">
        <f t="shared" si="360"/>
      </c>
      <c r="Z436" s="25">
        <f t="shared" si="360"/>
      </c>
      <c r="AA436" s="23">
        <f t="shared" si="360"/>
      </c>
      <c r="AB436" s="23">
        <f t="shared" si="360"/>
      </c>
      <c r="AC436" s="23">
        <f t="shared" si="360"/>
      </c>
      <c r="AD436" s="23">
        <f t="shared" si="360"/>
      </c>
      <c r="AE436" s="23">
        <f t="shared" si="360"/>
      </c>
      <c r="AF436" s="23">
        <f t="shared" si="360"/>
      </c>
      <c r="AG436" s="83">
        <f t="shared" si="360"/>
      </c>
      <c r="AH436" s="254"/>
      <c r="AI436" s="139"/>
      <c r="AJ436" s="140"/>
      <c r="AK436" s="143"/>
      <c r="AL436" s="143"/>
      <c r="AM436" s="132"/>
      <c r="AN436" s="130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</row>
    <row r="437" spans="1:66" ht="30.75" customHeight="1" hidden="1">
      <c r="A437" s="133"/>
      <c r="B437" s="134"/>
      <c r="C437" s="134"/>
      <c r="D437" s="134"/>
      <c r="E437" s="135"/>
      <c r="F437" s="106" t="s">
        <v>95</v>
      </c>
      <c r="G437" s="71">
        <f>VLOOKUP(завтрак1,таб,5,FALSE)</f>
        <v>0</v>
      </c>
      <c r="H437" s="26">
        <f>VLOOKUP(завтрак2,таб,5,FALSE)</f>
        <v>0</v>
      </c>
      <c r="I437" s="26"/>
      <c r="J437" s="26">
        <f>VLOOKUP(завтрак4,таб,5,FALSE)</f>
        <v>0</v>
      </c>
      <c r="K437" s="26">
        <f>VLOOKUP(завтрак5,таб,5,FALSE)</f>
        <v>0</v>
      </c>
      <c r="L437" s="116">
        <f>VLOOKUP(завтрак6,таб,5,FALSE)</f>
        <v>0</v>
      </c>
      <c r="M437" s="71">
        <f>VLOOKUP(завтрак7,таб,5,FALSE)</f>
        <v>0</v>
      </c>
      <c r="N437" s="81">
        <f>VLOOKUP(завтрак8,таб,5,FALSE)</f>
        <v>0</v>
      </c>
      <c r="O437" s="34">
        <f>VLOOKUP(обед1,таб,5,FALSE)</f>
        <v>0</v>
      </c>
      <c r="P437" s="33">
        <f>VLOOKUP(обед2,таб,5,FALSE)</f>
        <v>0</v>
      </c>
      <c r="Q437" s="33">
        <f>VLOOKUP(обед3,таб,5,FALSE)</f>
        <v>0</v>
      </c>
      <c r="R437" s="33">
        <f>VLOOKUP(обед4,таб,5,FALSE)</f>
        <v>0</v>
      </c>
      <c r="S437" s="33">
        <f>VLOOKUP(обед5,таб,5,FALSE)</f>
        <v>0</v>
      </c>
      <c r="T437" s="33">
        <f>VLOOKUP(обед6,таб,5,FALSE)</f>
        <v>0</v>
      </c>
      <c r="U437" s="33">
        <f>VLOOKUP(обед7,таб,5,FALSE)</f>
        <v>0</v>
      </c>
      <c r="V437" s="87">
        <f>VLOOKUP(обед8,таб,5,FALSE)</f>
        <v>0</v>
      </c>
      <c r="W437" s="34">
        <f>VLOOKUP(полдник1,таб,5,FALSE)</f>
        <v>0</v>
      </c>
      <c r="X437" s="33"/>
      <c r="Y437" s="87">
        <f>VLOOKUP(полдник3,таб,5,FALSE)</f>
        <v>0</v>
      </c>
      <c r="Z437" s="34">
        <f>VLOOKUP(ужин1,таб,5,FALSE)</f>
        <v>0</v>
      </c>
      <c r="AA437" s="33">
        <f>VLOOKUP(ужин2,таб,5,FALSE)</f>
        <v>0</v>
      </c>
      <c r="AB437" s="33">
        <f>VLOOKUP(ужин3,таб,5,FALSE)</f>
        <v>0</v>
      </c>
      <c r="AC437" s="33">
        <f>VLOOKUP(ужин4,таб,5,FALSE)</f>
        <v>0</v>
      </c>
      <c r="AD437" s="33">
        <f>VLOOKUP(ужин5,таб,5,FALSE)</f>
        <v>0</v>
      </c>
      <c r="AE437" s="33">
        <f>VLOOKUP(ужин6,таб,5,FALSE)</f>
        <v>0</v>
      </c>
      <c r="AF437" s="33">
        <f>VLOOKUP(ужин7,таб,5,FALSE)</f>
        <v>0</v>
      </c>
      <c r="AG437" s="87">
        <f>VLOOKUP(ужин8,таб,5,FALSE)</f>
        <v>0</v>
      </c>
      <c r="AH437" s="253"/>
      <c r="AI437" s="139">
        <f>AK437/сред</f>
        <v>0</v>
      </c>
      <c r="AJ437" s="140"/>
      <c r="AK437" s="143">
        <f>SUM(G438:AG438)</f>
        <v>0</v>
      </c>
      <c r="AL437" s="143"/>
      <c r="AM437" s="131">
        <f>IF(AK437=0,0,Таблиця!BT529)</f>
        <v>0</v>
      </c>
      <c r="AN437" s="129">
        <f>AK437*AM437</f>
        <v>0</v>
      </c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</row>
    <row r="438" spans="1:66" ht="30.75" customHeight="1" hidden="1">
      <c r="A438" s="136"/>
      <c r="B438" s="137"/>
      <c r="C438" s="137"/>
      <c r="D438" s="137"/>
      <c r="E438" s="138"/>
      <c r="F438" s="107" t="s">
        <v>96</v>
      </c>
      <c r="G438" s="75">
        <f aca="true" t="shared" si="361" ref="G438:AG438">IF(G437=0,"",завтракл*G437/1000)</f>
      </c>
      <c r="H438" s="23">
        <f t="shared" si="361"/>
      </c>
      <c r="I438" s="23"/>
      <c r="J438" s="23">
        <f t="shared" si="361"/>
      </c>
      <c r="K438" s="23">
        <f t="shared" si="361"/>
      </c>
      <c r="L438" s="122">
        <f t="shared" si="361"/>
      </c>
      <c r="M438" s="75">
        <f t="shared" si="361"/>
      </c>
      <c r="N438" s="83">
        <f t="shared" si="361"/>
      </c>
      <c r="O438" s="75">
        <f t="shared" si="361"/>
      </c>
      <c r="P438" s="23">
        <f t="shared" si="361"/>
      </c>
      <c r="Q438" s="23">
        <f t="shared" si="361"/>
      </c>
      <c r="R438" s="23">
        <f t="shared" si="361"/>
      </c>
      <c r="S438" s="23">
        <f t="shared" si="361"/>
      </c>
      <c r="T438" s="23">
        <f t="shared" si="361"/>
      </c>
      <c r="U438" s="23">
        <f t="shared" si="361"/>
      </c>
      <c r="V438" s="83">
        <f t="shared" si="361"/>
      </c>
      <c r="W438" s="25">
        <f t="shared" si="361"/>
      </c>
      <c r="X438" s="23"/>
      <c r="Y438" s="83">
        <f t="shared" si="361"/>
      </c>
      <c r="Z438" s="25">
        <f t="shared" si="361"/>
      </c>
      <c r="AA438" s="23">
        <f t="shared" si="361"/>
      </c>
      <c r="AB438" s="23">
        <f t="shared" si="361"/>
      </c>
      <c r="AC438" s="23">
        <f t="shared" si="361"/>
      </c>
      <c r="AD438" s="23">
        <f t="shared" si="361"/>
      </c>
      <c r="AE438" s="23">
        <f t="shared" si="361"/>
      </c>
      <c r="AF438" s="23">
        <f t="shared" si="361"/>
      </c>
      <c r="AG438" s="83">
        <f t="shared" si="361"/>
      </c>
      <c r="AH438" s="254"/>
      <c r="AI438" s="139"/>
      <c r="AJ438" s="140"/>
      <c r="AK438" s="143"/>
      <c r="AL438" s="143"/>
      <c r="AM438" s="132"/>
      <c r="AN438" s="130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</row>
    <row r="439" spans="1:66" ht="30.75" customHeight="1" hidden="1">
      <c r="A439" s="133"/>
      <c r="B439" s="134"/>
      <c r="C439" s="134"/>
      <c r="D439" s="134"/>
      <c r="E439" s="135"/>
      <c r="F439" s="106" t="s">
        <v>95</v>
      </c>
      <c r="G439" s="71">
        <f>VLOOKUP(завтрак1,таб,5,FALSE)</f>
        <v>0</v>
      </c>
      <c r="H439" s="26">
        <f>VLOOKUP(завтрак2,таб,5,FALSE)</f>
        <v>0</v>
      </c>
      <c r="I439" s="26"/>
      <c r="J439" s="26">
        <f>VLOOKUP(завтрак4,таб,5,FALSE)</f>
        <v>0</v>
      </c>
      <c r="K439" s="26">
        <f>VLOOKUP(завтрак5,таб,5,FALSE)</f>
        <v>0</v>
      </c>
      <c r="L439" s="116">
        <f>VLOOKUP(завтрак6,таб,5,FALSE)</f>
        <v>0</v>
      </c>
      <c r="M439" s="71">
        <f>VLOOKUP(завтрак7,таб,5,FALSE)</f>
        <v>0</v>
      </c>
      <c r="N439" s="81">
        <f>VLOOKUP(завтрак8,таб,5,FALSE)</f>
        <v>0</v>
      </c>
      <c r="O439" s="34">
        <f>VLOOKUP(обед1,таб,5,FALSE)</f>
        <v>0</v>
      </c>
      <c r="P439" s="33">
        <f>VLOOKUP(обед2,таб,5,FALSE)</f>
        <v>0</v>
      </c>
      <c r="Q439" s="33">
        <f>VLOOKUP(обед3,таб,5,FALSE)</f>
        <v>0</v>
      </c>
      <c r="R439" s="33">
        <f>VLOOKUP(обед4,таб,5,FALSE)</f>
        <v>0</v>
      </c>
      <c r="S439" s="33">
        <f>VLOOKUP(обед5,таб,5,FALSE)</f>
        <v>0</v>
      </c>
      <c r="T439" s="33">
        <f>VLOOKUP(обед6,таб,5,FALSE)</f>
        <v>0</v>
      </c>
      <c r="U439" s="33">
        <f>VLOOKUP(обед7,таб,5,FALSE)</f>
        <v>0</v>
      </c>
      <c r="V439" s="87">
        <f>VLOOKUP(обед8,таб,5,FALSE)</f>
        <v>0</v>
      </c>
      <c r="W439" s="34">
        <f>VLOOKUP(полдник1,таб,5,FALSE)</f>
        <v>0</v>
      </c>
      <c r="X439" s="33"/>
      <c r="Y439" s="87">
        <f>VLOOKUP(полдник3,таб,5,FALSE)</f>
        <v>0</v>
      </c>
      <c r="Z439" s="34">
        <f>VLOOKUP(ужин1,таб,5,FALSE)</f>
        <v>0</v>
      </c>
      <c r="AA439" s="33">
        <f>VLOOKUP(ужин2,таб,5,FALSE)</f>
        <v>0</v>
      </c>
      <c r="AB439" s="33">
        <f>VLOOKUP(ужин3,таб,5,FALSE)</f>
        <v>0</v>
      </c>
      <c r="AC439" s="33">
        <f>VLOOKUP(ужин4,таб,5,FALSE)</f>
        <v>0</v>
      </c>
      <c r="AD439" s="33">
        <f>VLOOKUP(ужин5,таб,5,FALSE)</f>
        <v>0</v>
      </c>
      <c r="AE439" s="33">
        <f>VLOOKUP(ужин6,таб,5,FALSE)</f>
        <v>0</v>
      </c>
      <c r="AF439" s="33">
        <f>VLOOKUP(ужин7,таб,5,FALSE)</f>
        <v>0</v>
      </c>
      <c r="AG439" s="87">
        <f>VLOOKUP(ужин8,таб,5,FALSE)</f>
        <v>0</v>
      </c>
      <c r="AH439" s="253"/>
      <c r="AI439" s="139">
        <f>AK439/сред</f>
        <v>0</v>
      </c>
      <c r="AJ439" s="140"/>
      <c r="AK439" s="143">
        <f>SUM(G440:AG440)</f>
        <v>0</v>
      </c>
      <c r="AL439" s="143"/>
      <c r="AM439" s="131">
        <f>IF(AK439=0,0,Таблиця!BT531)</f>
        <v>0</v>
      </c>
      <c r="AN439" s="129">
        <f>AK439*AM439</f>
        <v>0</v>
      </c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</row>
    <row r="440" spans="1:66" ht="30.75" customHeight="1" hidden="1">
      <c r="A440" s="136"/>
      <c r="B440" s="137"/>
      <c r="C440" s="137"/>
      <c r="D440" s="137"/>
      <c r="E440" s="138"/>
      <c r="F440" s="107" t="s">
        <v>96</v>
      </c>
      <c r="G440" s="75">
        <f aca="true" t="shared" si="362" ref="G440:AG440">IF(G439=0,"",завтракл*G439/1000)</f>
      </c>
      <c r="H440" s="23">
        <f t="shared" si="362"/>
      </c>
      <c r="I440" s="23"/>
      <c r="J440" s="23">
        <f t="shared" si="362"/>
      </c>
      <c r="K440" s="23">
        <f t="shared" si="362"/>
      </c>
      <c r="L440" s="122">
        <f t="shared" si="362"/>
      </c>
      <c r="M440" s="75">
        <f t="shared" si="362"/>
      </c>
      <c r="N440" s="83">
        <f t="shared" si="362"/>
      </c>
      <c r="O440" s="75">
        <f t="shared" si="362"/>
      </c>
      <c r="P440" s="23">
        <f t="shared" si="362"/>
      </c>
      <c r="Q440" s="23">
        <f t="shared" si="362"/>
      </c>
      <c r="R440" s="23">
        <f t="shared" si="362"/>
      </c>
      <c r="S440" s="23">
        <f t="shared" si="362"/>
      </c>
      <c r="T440" s="23">
        <f t="shared" si="362"/>
      </c>
      <c r="U440" s="23">
        <f t="shared" si="362"/>
      </c>
      <c r="V440" s="83">
        <f t="shared" si="362"/>
      </c>
      <c r="W440" s="25">
        <f t="shared" si="362"/>
      </c>
      <c r="X440" s="23"/>
      <c r="Y440" s="83">
        <f t="shared" si="362"/>
      </c>
      <c r="Z440" s="25">
        <f t="shared" si="362"/>
      </c>
      <c r="AA440" s="23">
        <f t="shared" si="362"/>
      </c>
      <c r="AB440" s="23">
        <f t="shared" si="362"/>
      </c>
      <c r="AC440" s="23">
        <f t="shared" si="362"/>
      </c>
      <c r="AD440" s="23">
        <f t="shared" si="362"/>
      </c>
      <c r="AE440" s="23">
        <f t="shared" si="362"/>
      </c>
      <c r="AF440" s="23">
        <f t="shared" si="362"/>
      </c>
      <c r="AG440" s="83">
        <f t="shared" si="362"/>
      </c>
      <c r="AH440" s="254"/>
      <c r="AI440" s="139"/>
      <c r="AJ440" s="140"/>
      <c r="AK440" s="143"/>
      <c r="AL440" s="143"/>
      <c r="AM440" s="132"/>
      <c r="AN440" s="130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</row>
    <row r="441" spans="1:66" ht="30.75" customHeight="1" hidden="1">
      <c r="A441" s="133"/>
      <c r="B441" s="134"/>
      <c r="C441" s="134"/>
      <c r="D441" s="134"/>
      <c r="E441" s="135"/>
      <c r="F441" s="106" t="s">
        <v>95</v>
      </c>
      <c r="G441" s="71">
        <f>VLOOKUP(завтрак1,таб,5,FALSE)</f>
        <v>0</v>
      </c>
      <c r="H441" s="26">
        <f>VLOOKUP(завтрак2,таб,5,FALSE)</f>
        <v>0</v>
      </c>
      <c r="I441" s="26"/>
      <c r="J441" s="26">
        <f>VLOOKUP(завтрак4,таб,5,FALSE)</f>
        <v>0</v>
      </c>
      <c r="K441" s="26">
        <f>VLOOKUP(завтрак5,таб,5,FALSE)</f>
        <v>0</v>
      </c>
      <c r="L441" s="116">
        <f>VLOOKUP(завтрак6,таб,5,FALSE)</f>
        <v>0</v>
      </c>
      <c r="M441" s="71">
        <f>VLOOKUP(завтрак7,таб,5,FALSE)</f>
        <v>0</v>
      </c>
      <c r="N441" s="81">
        <f>VLOOKUP(завтрак8,таб,5,FALSE)</f>
        <v>0</v>
      </c>
      <c r="O441" s="34">
        <f>VLOOKUP(обед1,таб,5,FALSE)</f>
        <v>0</v>
      </c>
      <c r="P441" s="33">
        <f>VLOOKUP(обед2,таб,5,FALSE)</f>
        <v>0</v>
      </c>
      <c r="Q441" s="33">
        <f>VLOOKUP(обед3,таб,5,FALSE)</f>
        <v>0</v>
      </c>
      <c r="R441" s="33">
        <f>VLOOKUP(обед4,таб,5,FALSE)</f>
        <v>0</v>
      </c>
      <c r="S441" s="33">
        <f>VLOOKUP(обед5,таб,5,FALSE)</f>
        <v>0</v>
      </c>
      <c r="T441" s="33">
        <f>VLOOKUP(обед6,таб,5,FALSE)</f>
        <v>0</v>
      </c>
      <c r="U441" s="33">
        <f>VLOOKUP(обед7,таб,5,FALSE)</f>
        <v>0</v>
      </c>
      <c r="V441" s="87">
        <f>VLOOKUP(обед8,таб,5,FALSE)</f>
        <v>0</v>
      </c>
      <c r="W441" s="34">
        <f>VLOOKUP(полдник1,таб,5,FALSE)</f>
        <v>0</v>
      </c>
      <c r="X441" s="33"/>
      <c r="Y441" s="87">
        <f>VLOOKUP(полдник3,таб,5,FALSE)</f>
        <v>0</v>
      </c>
      <c r="Z441" s="34">
        <f>VLOOKUP(ужин1,таб,5,FALSE)</f>
        <v>0</v>
      </c>
      <c r="AA441" s="33">
        <f>VLOOKUP(ужин2,таб,5,FALSE)</f>
        <v>0</v>
      </c>
      <c r="AB441" s="33">
        <f>VLOOKUP(ужин3,таб,5,FALSE)</f>
        <v>0</v>
      </c>
      <c r="AC441" s="33">
        <f>VLOOKUP(ужин4,таб,5,FALSE)</f>
        <v>0</v>
      </c>
      <c r="AD441" s="33">
        <f>VLOOKUP(ужин5,таб,5,FALSE)</f>
        <v>0</v>
      </c>
      <c r="AE441" s="33">
        <f>VLOOKUP(ужин6,таб,5,FALSE)</f>
        <v>0</v>
      </c>
      <c r="AF441" s="33">
        <f>VLOOKUP(ужин7,таб,5,FALSE)</f>
        <v>0</v>
      </c>
      <c r="AG441" s="87">
        <f>VLOOKUP(ужин8,таб,5,FALSE)</f>
        <v>0</v>
      </c>
      <c r="AH441" s="253"/>
      <c r="AI441" s="139">
        <f>AK441/сред</f>
        <v>0</v>
      </c>
      <c r="AJ441" s="140"/>
      <c r="AK441" s="143">
        <f>SUM(G442:AG442)</f>
        <v>0</v>
      </c>
      <c r="AL441" s="143"/>
      <c r="AM441" s="131">
        <f>IF(AK441=0,0,Таблиця!BT533)</f>
        <v>0</v>
      </c>
      <c r="AN441" s="129">
        <f>AK441*AM441</f>
        <v>0</v>
      </c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</row>
    <row r="442" spans="1:66" ht="30.75" customHeight="1" hidden="1">
      <c r="A442" s="136"/>
      <c r="B442" s="137"/>
      <c r="C442" s="137"/>
      <c r="D442" s="137"/>
      <c r="E442" s="138"/>
      <c r="F442" s="107" t="s">
        <v>96</v>
      </c>
      <c r="G442" s="75">
        <f aca="true" t="shared" si="363" ref="G442:AG442">IF(G441=0,"",завтракл*G441/1000)</f>
      </c>
      <c r="H442" s="23">
        <f t="shared" si="363"/>
      </c>
      <c r="I442" s="23"/>
      <c r="J442" s="23">
        <f t="shared" si="363"/>
      </c>
      <c r="K442" s="23">
        <f t="shared" si="363"/>
      </c>
      <c r="L442" s="122">
        <f t="shared" si="363"/>
      </c>
      <c r="M442" s="75">
        <f t="shared" si="363"/>
      </c>
      <c r="N442" s="83">
        <f t="shared" si="363"/>
      </c>
      <c r="O442" s="75">
        <f t="shared" si="363"/>
      </c>
      <c r="P442" s="23">
        <f t="shared" si="363"/>
      </c>
      <c r="Q442" s="23">
        <f t="shared" si="363"/>
      </c>
      <c r="R442" s="23">
        <f t="shared" si="363"/>
      </c>
      <c r="S442" s="23">
        <f t="shared" si="363"/>
      </c>
      <c r="T442" s="23">
        <f t="shared" si="363"/>
      </c>
      <c r="U442" s="23">
        <f t="shared" si="363"/>
      </c>
      <c r="V442" s="83">
        <f t="shared" si="363"/>
      </c>
      <c r="W442" s="25">
        <f t="shared" si="363"/>
      </c>
      <c r="X442" s="23"/>
      <c r="Y442" s="83">
        <f t="shared" si="363"/>
      </c>
      <c r="Z442" s="25">
        <f t="shared" si="363"/>
      </c>
      <c r="AA442" s="23">
        <f t="shared" si="363"/>
      </c>
      <c r="AB442" s="23">
        <f t="shared" si="363"/>
      </c>
      <c r="AC442" s="23">
        <f t="shared" si="363"/>
      </c>
      <c r="AD442" s="23">
        <f t="shared" si="363"/>
      </c>
      <c r="AE442" s="23">
        <f t="shared" si="363"/>
      </c>
      <c r="AF442" s="23">
        <f t="shared" si="363"/>
      </c>
      <c r="AG442" s="83">
        <f t="shared" si="363"/>
      </c>
      <c r="AH442" s="254"/>
      <c r="AI442" s="139"/>
      <c r="AJ442" s="140"/>
      <c r="AK442" s="143"/>
      <c r="AL442" s="143"/>
      <c r="AM442" s="132"/>
      <c r="AN442" s="130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</row>
    <row r="443" spans="1:66" ht="30.75" customHeight="1" hidden="1">
      <c r="A443" s="133"/>
      <c r="B443" s="134"/>
      <c r="C443" s="134"/>
      <c r="D443" s="134"/>
      <c r="E443" s="135"/>
      <c r="F443" s="106" t="s">
        <v>95</v>
      </c>
      <c r="G443" s="71">
        <f>VLOOKUP(завтрак1,таб,5,FALSE)</f>
        <v>0</v>
      </c>
      <c r="H443" s="26">
        <f>VLOOKUP(завтрак2,таб,5,FALSE)</f>
        <v>0</v>
      </c>
      <c r="I443" s="26"/>
      <c r="J443" s="26">
        <f>VLOOKUP(завтрак4,таб,5,FALSE)</f>
        <v>0</v>
      </c>
      <c r="K443" s="26">
        <f>VLOOKUP(завтрак5,таб,5,FALSE)</f>
        <v>0</v>
      </c>
      <c r="L443" s="116">
        <f>VLOOKUP(завтрак6,таб,5,FALSE)</f>
        <v>0</v>
      </c>
      <c r="M443" s="71">
        <f>VLOOKUP(завтрак7,таб,5,FALSE)</f>
        <v>0</v>
      </c>
      <c r="N443" s="81">
        <f>VLOOKUP(завтрак8,таб,5,FALSE)</f>
        <v>0</v>
      </c>
      <c r="O443" s="34">
        <f>VLOOKUP(обед1,таб,5,FALSE)</f>
        <v>0</v>
      </c>
      <c r="P443" s="33">
        <f>VLOOKUP(обед2,таб,5,FALSE)</f>
        <v>0</v>
      </c>
      <c r="Q443" s="33">
        <f>VLOOKUP(обед3,таб,5,FALSE)</f>
        <v>0</v>
      </c>
      <c r="R443" s="33">
        <f>VLOOKUP(обед4,таб,5,FALSE)</f>
        <v>0</v>
      </c>
      <c r="S443" s="33">
        <f>VLOOKUP(обед5,таб,5,FALSE)</f>
        <v>0</v>
      </c>
      <c r="T443" s="33">
        <f>VLOOKUP(обед6,таб,5,FALSE)</f>
        <v>0</v>
      </c>
      <c r="U443" s="33">
        <f>VLOOKUP(обед7,таб,5,FALSE)</f>
        <v>0</v>
      </c>
      <c r="V443" s="87">
        <f>VLOOKUP(обед8,таб,5,FALSE)</f>
        <v>0</v>
      </c>
      <c r="W443" s="34">
        <f>VLOOKUP(полдник1,таб,5,FALSE)</f>
        <v>0</v>
      </c>
      <c r="X443" s="33"/>
      <c r="Y443" s="87">
        <f>VLOOKUP(полдник3,таб,5,FALSE)</f>
        <v>0</v>
      </c>
      <c r="Z443" s="34">
        <f>VLOOKUP(ужин1,таб,5,FALSE)</f>
        <v>0</v>
      </c>
      <c r="AA443" s="33">
        <f>VLOOKUP(ужин2,таб,5,FALSE)</f>
        <v>0</v>
      </c>
      <c r="AB443" s="33">
        <f>VLOOKUP(ужин3,таб,5,FALSE)</f>
        <v>0</v>
      </c>
      <c r="AC443" s="33">
        <f>VLOOKUP(ужин4,таб,5,FALSE)</f>
        <v>0</v>
      </c>
      <c r="AD443" s="33">
        <f>VLOOKUP(ужин5,таб,5,FALSE)</f>
        <v>0</v>
      </c>
      <c r="AE443" s="33">
        <f>VLOOKUP(ужин6,таб,5,FALSE)</f>
        <v>0</v>
      </c>
      <c r="AF443" s="33">
        <f>VLOOKUP(ужин7,таб,5,FALSE)</f>
        <v>0</v>
      </c>
      <c r="AG443" s="87">
        <f>VLOOKUP(ужин8,таб,5,FALSE)</f>
        <v>0</v>
      </c>
      <c r="AH443" s="253"/>
      <c r="AI443" s="139">
        <f>AK443/сред</f>
        <v>0</v>
      </c>
      <c r="AJ443" s="140"/>
      <c r="AK443" s="143">
        <f>SUM(G444:AG444)</f>
        <v>0</v>
      </c>
      <c r="AL443" s="143"/>
      <c r="AM443" s="131">
        <f>IF(AK443=0,0,Таблиця!BT535)</f>
        <v>0</v>
      </c>
      <c r="AN443" s="129">
        <f>AK443*AM443</f>
        <v>0</v>
      </c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</row>
    <row r="444" spans="1:66" ht="30.75" customHeight="1" hidden="1">
      <c r="A444" s="136"/>
      <c r="B444" s="137"/>
      <c r="C444" s="137"/>
      <c r="D444" s="137"/>
      <c r="E444" s="138"/>
      <c r="F444" s="107" t="s">
        <v>96</v>
      </c>
      <c r="G444" s="75">
        <f aca="true" t="shared" si="364" ref="G444:AG444">IF(G443=0,"",завтракл*G443/1000)</f>
      </c>
      <c r="H444" s="23">
        <f t="shared" si="364"/>
      </c>
      <c r="I444" s="23"/>
      <c r="J444" s="23">
        <f t="shared" si="364"/>
      </c>
      <c r="K444" s="23">
        <f t="shared" si="364"/>
      </c>
      <c r="L444" s="122">
        <f t="shared" si="364"/>
      </c>
      <c r="M444" s="75">
        <f t="shared" si="364"/>
      </c>
      <c r="N444" s="83">
        <f t="shared" si="364"/>
      </c>
      <c r="O444" s="75">
        <f t="shared" si="364"/>
      </c>
      <c r="P444" s="23">
        <f t="shared" si="364"/>
      </c>
      <c r="Q444" s="23">
        <f t="shared" si="364"/>
      </c>
      <c r="R444" s="23">
        <f t="shared" si="364"/>
      </c>
      <c r="S444" s="23">
        <f t="shared" si="364"/>
      </c>
      <c r="T444" s="23">
        <f t="shared" si="364"/>
      </c>
      <c r="U444" s="23">
        <f t="shared" si="364"/>
      </c>
      <c r="V444" s="83">
        <f t="shared" si="364"/>
      </c>
      <c r="W444" s="25">
        <f t="shared" si="364"/>
      </c>
      <c r="X444" s="23"/>
      <c r="Y444" s="83">
        <f t="shared" si="364"/>
      </c>
      <c r="Z444" s="25">
        <f t="shared" si="364"/>
      </c>
      <c r="AA444" s="23">
        <f t="shared" si="364"/>
      </c>
      <c r="AB444" s="23">
        <f t="shared" si="364"/>
      </c>
      <c r="AC444" s="23">
        <f t="shared" si="364"/>
      </c>
      <c r="AD444" s="23">
        <f t="shared" si="364"/>
      </c>
      <c r="AE444" s="23">
        <f t="shared" si="364"/>
      </c>
      <c r="AF444" s="23">
        <f t="shared" si="364"/>
      </c>
      <c r="AG444" s="83">
        <f t="shared" si="364"/>
      </c>
      <c r="AH444" s="254"/>
      <c r="AI444" s="139"/>
      <c r="AJ444" s="140"/>
      <c r="AK444" s="143"/>
      <c r="AL444" s="143"/>
      <c r="AM444" s="132"/>
      <c r="AN444" s="130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</row>
    <row r="445" spans="1:66" ht="30.75" customHeight="1" hidden="1">
      <c r="A445" s="133"/>
      <c r="B445" s="134"/>
      <c r="C445" s="134"/>
      <c r="D445" s="134"/>
      <c r="E445" s="135"/>
      <c r="F445" s="106" t="s">
        <v>95</v>
      </c>
      <c r="G445" s="71">
        <f>VLOOKUP(завтрак1,таб,5,FALSE)</f>
        <v>0</v>
      </c>
      <c r="H445" s="26">
        <f>VLOOKUP(завтрак2,таб,5,FALSE)</f>
        <v>0</v>
      </c>
      <c r="I445" s="26"/>
      <c r="J445" s="26">
        <f>VLOOKUP(завтрак4,таб,5,FALSE)</f>
        <v>0</v>
      </c>
      <c r="K445" s="26">
        <f>VLOOKUP(завтрак5,таб,5,FALSE)</f>
        <v>0</v>
      </c>
      <c r="L445" s="116">
        <f>VLOOKUP(завтрак6,таб,5,FALSE)</f>
        <v>0</v>
      </c>
      <c r="M445" s="71">
        <f>VLOOKUP(завтрак7,таб,5,FALSE)</f>
        <v>0</v>
      </c>
      <c r="N445" s="81">
        <f>VLOOKUP(завтрак8,таб,5,FALSE)</f>
        <v>0</v>
      </c>
      <c r="O445" s="34">
        <f>VLOOKUP(обед1,таб,5,FALSE)</f>
        <v>0</v>
      </c>
      <c r="P445" s="33">
        <f>VLOOKUP(обед2,таб,5,FALSE)</f>
        <v>0</v>
      </c>
      <c r="Q445" s="33">
        <f>VLOOKUP(обед3,таб,5,FALSE)</f>
        <v>0</v>
      </c>
      <c r="R445" s="33">
        <f>VLOOKUP(обед4,таб,5,FALSE)</f>
        <v>0</v>
      </c>
      <c r="S445" s="33">
        <f>VLOOKUP(обед5,таб,5,FALSE)</f>
        <v>0</v>
      </c>
      <c r="T445" s="33">
        <f>VLOOKUP(обед6,таб,5,FALSE)</f>
        <v>0</v>
      </c>
      <c r="U445" s="33">
        <f>VLOOKUP(обед7,таб,5,FALSE)</f>
        <v>0</v>
      </c>
      <c r="V445" s="87">
        <f>VLOOKUP(обед8,таб,5,FALSE)</f>
        <v>0</v>
      </c>
      <c r="W445" s="34">
        <f>VLOOKUP(полдник1,таб,5,FALSE)</f>
        <v>0</v>
      </c>
      <c r="X445" s="33"/>
      <c r="Y445" s="87">
        <f>VLOOKUP(полдник3,таб,5,FALSE)</f>
        <v>0</v>
      </c>
      <c r="Z445" s="34">
        <f>VLOOKUP(ужин1,таб,5,FALSE)</f>
        <v>0</v>
      </c>
      <c r="AA445" s="33">
        <f>VLOOKUP(ужин2,таб,5,FALSE)</f>
        <v>0</v>
      </c>
      <c r="AB445" s="33">
        <f>VLOOKUP(ужин3,таб,5,FALSE)</f>
        <v>0</v>
      </c>
      <c r="AC445" s="33">
        <f>VLOOKUP(ужин4,таб,5,FALSE)</f>
        <v>0</v>
      </c>
      <c r="AD445" s="33">
        <f>VLOOKUP(ужин5,таб,5,FALSE)</f>
        <v>0</v>
      </c>
      <c r="AE445" s="33">
        <f>VLOOKUP(ужин6,таб,5,FALSE)</f>
        <v>0</v>
      </c>
      <c r="AF445" s="33">
        <f>VLOOKUP(ужин7,таб,5,FALSE)</f>
        <v>0</v>
      </c>
      <c r="AG445" s="87">
        <f>VLOOKUP(ужин8,таб,5,FALSE)</f>
        <v>0</v>
      </c>
      <c r="AH445" s="253"/>
      <c r="AI445" s="139">
        <f>AK445/сред</f>
        <v>0</v>
      </c>
      <c r="AJ445" s="140"/>
      <c r="AK445" s="143">
        <f>SUM(G446:AG446)</f>
        <v>0</v>
      </c>
      <c r="AL445" s="143"/>
      <c r="AM445" s="131">
        <f>IF(AK445=0,0,Таблиця!BT537)</f>
        <v>0</v>
      </c>
      <c r="AN445" s="129">
        <f>AK445*AM445</f>
        <v>0</v>
      </c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</row>
    <row r="446" spans="1:66" ht="30.75" customHeight="1" hidden="1">
      <c r="A446" s="136"/>
      <c r="B446" s="137"/>
      <c r="C446" s="137"/>
      <c r="D446" s="137"/>
      <c r="E446" s="138"/>
      <c r="F446" s="107" t="s">
        <v>96</v>
      </c>
      <c r="G446" s="75">
        <f aca="true" t="shared" si="365" ref="G446:AG446">IF(G445=0,"",завтракл*G445/1000)</f>
      </c>
      <c r="H446" s="23">
        <f t="shared" si="365"/>
      </c>
      <c r="I446" s="23"/>
      <c r="J446" s="23">
        <f t="shared" si="365"/>
      </c>
      <c r="K446" s="23">
        <f t="shared" si="365"/>
      </c>
      <c r="L446" s="122">
        <f t="shared" si="365"/>
      </c>
      <c r="M446" s="75">
        <f t="shared" si="365"/>
      </c>
      <c r="N446" s="83">
        <f t="shared" si="365"/>
      </c>
      <c r="O446" s="75">
        <f t="shared" si="365"/>
      </c>
      <c r="P446" s="23">
        <f t="shared" si="365"/>
      </c>
      <c r="Q446" s="23">
        <f t="shared" si="365"/>
      </c>
      <c r="R446" s="23">
        <f t="shared" si="365"/>
      </c>
      <c r="S446" s="23">
        <f t="shared" si="365"/>
      </c>
      <c r="T446" s="23">
        <f t="shared" si="365"/>
      </c>
      <c r="U446" s="23">
        <f t="shared" si="365"/>
      </c>
      <c r="V446" s="83">
        <f t="shared" si="365"/>
      </c>
      <c r="W446" s="25">
        <f t="shared" si="365"/>
      </c>
      <c r="X446" s="23"/>
      <c r="Y446" s="83">
        <f t="shared" si="365"/>
      </c>
      <c r="Z446" s="25">
        <f t="shared" si="365"/>
      </c>
      <c r="AA446" s="23">
        <f t="shared" si="365"/>
      </c>
      <c r="AB446" s="23">
        <f t="shared" si="365"/>
      </c>
      <c r="AC446" s="23">
        <f t="shared" si="365"/>
      </c>
      <c r="AD446" s="23">
        <f t="shared" si="365"/>
      </c>
      <c r="AE446" s="23">
        <f t="shared" si="365"/>
      </c>
      <c r="AF446" s="23">
        <f t="shared" si="365"/>
      </c>
      <c r="AG446" s="83">
        <f t="shared" si="365"/>
      </c>
      <c r="AH446" s="254"/>
      <c r="AI446" s="139"/>
      <c r="AJ446" s="140"/>
      <c r="AK446" s="143"/>
      <c r="AL446" s="143"/>
      <c r="AM446" s="132"/>
      <c r="AN446" s="130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</row>
    <row r="447" spans="1:66" ht="30.75" customHeight="1" hidden="1">
      <c r="A447" s="133"/>
      <c r="B447" s="134"/>
      <c r="C447" s="134"/>
      <c r="D447" s="134"/>
      <c r="E447" s="135"/>
      <c r="F447" s="106" t="s">
        <v>95</v>
      </c>
      <c r="G447" s="71">
        <f>VLOOKUP(завтрак1,таб,5,FALSE)</f>
        <v>0</v>
      </c>
      <c r="H447" s="26">
        <f>VLOOKUP(завтрак2,таб,5,FALSE)</f>
        <v>0</v>
      </c>
      <c r="I447" s="26"/>
      <c r="J447" s="26">
        <f>VLOOKUP(завтрак4,таб,5,FALSE)</f>
        <v>0</v>
      </c>
      <c r="K447" s="26">
        <f>VLOOKUP(завтрак5,таб,5,FALSE)</f>
        <v>0</v>
      </c>
      <c r="L447" s="116">
        <f>VLOOKUP(завтрак6,таб,5,FALSE)</f>
        <v>0</v>
      </c>
      <c r="M447" s="71">
        <f>VLOOKUP(завтрак7,таб,5,FALSE)</f>
        <v>0</v>
      </c>
      <c r="N447" s="81">
        <f>VLOOKUP(завтрак8,таб,5,FALSE)</f>
        <v>0</v>
      </c>
      <c r="O447" s="34">
        <f>VLOOKUP(обед1,таб,5,FALSE)</f>
        <v>0</v>
      </c>
      <c r="P447" s="33">
        <f>VLOOKUP(обед2,таб,5,FALSE)</f>
        <v>0</v>
      </c>
      <c r="Q447" s="33">
        <f>VLOOKUP(обед3,таб,5,FALSE)</f>
        <v>0</v>
      </c>
      <c r="R447" s="33">
        <f>VLOOKUP(обед4,таб,5,FALSE)</f>
        <v>0</v>
      </c>
      <c r="S447" s="33">
        <f>VLOOKUP(обед5,таб,5,FALSE)</f>
        <v>0</v>
      </c>
      <c r="T447" s="33">
        <f>VLOOKUP(обед6,таб,5,FALSE)</f>
        <v>0</v>
      </c>
      <c r="U447" s="33">
        <f>VLOOKUP(обед7,таб,5,FALSE)</f>
        <v>0</v>
      </c>
      <c r="V447" s="87">
        <f>VLOOKUP(обед8,таб,5,FALSE)</f>
        <v>0</v>
      </c>
      <c r="W447" s="34">
        <f>VLOOKUP(полдник1,таб,5,FALSE)</f>
        <v>0</v>
      </c>
      <c r="X447" s="33"/>
      <c r="Y447" s="87">
        <f>VLOOKUP(полдник3,таб,5,FALSE)</f>
        <v>0</v>
      </c>
      <c r="Z447" s="34">
        <f>VLOOKUP(ужин1,таб,5,FALSE)</f>
        <v>0</v>
      </c>
      <c r="AA447" s="33">
        <f>VLOOKUP(ужин2,таб,5,FALSE)</f>
        <v>0</v>
      </c>
      <c r="AB447" s="33">
        <f>VLOOKUP(ужин3,таб,5,FALSE)</f>
        <v>0</v>
      </c>
      <c r="AC447" s="33">
        <f>VLOOKUP(ужин4,таб,5,FALSE)</f>
        <v>0</v>
      </c>
      <c r="AD447" s="33">
        <f>VLOOKUP(ужин5,таб,5,FALSE)</f>
        <v>0</v>
      </c>
      <c r="AE447" s="33">
        <f>VLOOKUP(ужин6,таб,5,FALSE)</f>
        <v>0</v>
      </c>
      <c r="AF447" s="33">
        <f>VLOOKUP(ужин7,таб,5,FALSE)</f>
        <v>0</v>
      </c>
      <c r="AG447" s="87">
        <f>VLOOKUP(ужин8,таб,5,FALSE)</f>
        <v>0</v>
      </c>
      <c r="AH447" s="253"/>
      <c r="AI447" s="139">
        <f>AK447/сред</f>
        <v>0</v>
      </c>
      <c r="AJ447" s="140"/>
      <c r="AK447" s="143">
        <f>SUM(G448:AG448)</f>
        <v>0</v>
      </c>
      <c r="AL447" s="143"/>
      <c r="AM447" s="131">
        <f>IF(AK447=0,0,Таблиця!BT539)</f>
        <v>0</v>
      </c>
      <c r="AN447" s="129">
        <f>AK447*AM447</f>
        <v>0</v>
      </c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</row>
    <row r="448" spans="1:66" ht="30.75" customHeight="1" hidden="1">
      <c r="A448" s="136"/>
      <c r="B448" s="137"/>
      <c r="C448" s="137"/>
      <c r="D448" s="137"/>
      <c r="E448" s="138"/>
      <c r="F448" s="107" t="s">
        <v>96</v>
      </c>
      <c r="G448" s="75">
        <f aca="true" t="shared" si="366" ref="G448:AG448">IF(G447=0,"",завтракл*G447/1000)</f>
      </c>
      <c r="H448" s="23">
        <f t="shared" si="366"/>
      </c>
      <c r="I448" s="23"/>
      <c r="J448" s="23">
        <f t="shared" si="366"/>
      </c>
      <c r="K448" s="23">
        <f t="shared" si="366"/>
      </c>
      <c r="L448" s="122">
        <f t="shared" si="366"/>
      </c>
      <c r="M448" s="75">
        <f t="shared" si="366"/>
      </c>
      <c r="N448" s="83">
        <f t="shared" si="366"/>
      </c>
      <c r="O448" s="75">
        <f t="shared" si="366"/>
      </c>
      <c r="P448" s="23">
        <f t="shared" si="366"/>
      </c>
      <c r="Q448" s="23">
        <f t="shared" si="366"/>
      </c>
      <c r="R448" s="23">
        <f t="shared" si="366"/>
      </c>
      <c r="S448" s="23">
        <f t="shared" si="366"/>
      </c>
      <c r="T448" s="23">
        <f t="shared" si="366"/>
      </c>
      <c r="U448" s="23">
        <f t="shared" si="366"/>
      </c>
      <c r="V448" s="83">
        <f t="shared" si="366"/>
      </c>
      <c r="W448" s="25">
        <f t="shared" si="366"/>
      </c>
      <c r="X448" s="23"/>
      <c r="Y448" s="83">
        <f t="shared" si="366"/>
      </c>
      <c r="Z448" s="25">
        <f t="shared" si="366"/>
      </c>
      <c r="AA448" s="23">
        <f t="shared" si="366"/>
      </c>
      <c r="AB448" s="23">
        <f t="shared" si="366"/>
      </c>
      <c r="AC448" s="23">
        <f t="shared" si="366"/>
      </c>
      <c r="AD448" s="23">
        <f t="shared" si="366"/>
      </c>
      <c r="AE448" s="23">
        <f t="shared" si="366"/>
      </c>
      <c r="AF448" s="23">
        <f t="shared" si="366"/>
      </c>
      <c r="AG448" s="83">
        <f t="shared" si="366"/>
      </c>
      <c r="AH448" s="254"/>
      <c r="AI448" s="139"/>
      <c r="AJ448" s="140"/>
      <c r="AK448" s="143"/>
      <c r="AL448" s="143"/>
      <c r="AM448" s="132"/>
      <c r="AN448" s="130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</row>
    <row r="449" spans="1:66" ht="30.75" customHeight="1" hidden="1">
      <c r="A449" s="133"/>
      <c r="B449" s="134"/>
      <c r="C449" s="134"/>
      <c r="D449" s="134"/>
      <c r="E449" s="135"/>
      <c r="F449" s="106" t="s">
        <v>95</v>
      </c>
      <c r="G449" s="71">
        <f>VLOOKUP(завтрак1,таб,5,FALSE)</f>
        <v>0</v>
      </c>
      <c r="H449" s="26">
        <f>VLOOKUP(завтрак2,таб,5,FALSE)</f>
        <v>0</v>
      </c>
      <c r="I449" s="26"/>
      <c r="J449" s="26">
        <f>VLOOKUP(завтрак4,таб,5,FALSE)</f>
        <v>0</v>
      </c>
      <c r="K449" s="26">
        <f>VLOOKUP(завтрак5,таб,5,FALSE)</f>
        <v>0</v>
      </c>
      <c r="L449" s="116">
        <f>VLOOKUP(завтрак6,таб,5,FALSE)</f>
        <v>0</v>
      </c>
      <c r="M449" s="71">
        <f>VLOOKUP(завтрак7,таб,5,FALSE)</f>
        <v>0</v>
      </c>
      <c r="N449" s="81">
        <f>VLOOKUP(завтрак8,таб,5,FALSE)</f>
        <v>0</v>
      </c>
      <c r="O449" s="34">
        <f>VLOOKUP(обед1,таб,5,FALSE)</f>
        <v>0</v>
      </c>
      <c r="P449" s="33">
        <f>VLOOKUP(обед2,таб,5,FALSE)</f>
        <v>0</v>
      </c>
      <c r="Q449" s="33">
        <f>VLOOKUP(обед3,таб,5,FALSE)</f>
        <v>0</v>
      </c>
      <c r="R449" s="33">
        <f>VLOOKUP(обед4,таб,5,FALSE)</f>
        <v>0</v>
      </c>
      <c r="S449" s="33">
        <f>VLOOKUP(обед5,таб,5,FALSE)</f>
        <v>0</v>
      </c>
      <c r="T449" s="33">
        <f>VLOOKUP(обед6,таб,5,FALSE)</f>
        <v>0</v>
      </c>
      <c r="U449" s="33">
        <f>VLOOKUP(обед7,таб,5,FALSE)</f>
        <v>0</v>
      </c>
      <c r="V449" s="87">
        <f>VLOOKUP(обед8,таб,5,FALSE)</f>
        <v>0</v>
      </c>
      <c r="W449" s="34">
        <f>VLOOKUP(полдник1,таб,5,FALSE)</f>
        <v>0</v>
      </c>
      <c r="X449" s="33"/>
      <c r="Y449" s="87">
        <f>VLOOKUP(полдник3,таб,5,FALSE)</f>
        <v>0</v>
      </c>
      <c r="Z449" s="34">
        <f>VLOOKUP(ужин1,таб,5,FALSE)</f>
        <v>0</v>
      </c>
      <c r="AA449" s="33">
        <f>VLOOKUP(ужин2,таб,5,FALSE)</f>
        <v>0</v>
      </c>
      <c r="AB449" s="33">
        <f>VLOOKUP(ужин3,таб,5,FALSE)</f>
        <v>0</v>
      </c>
      <c r="AC449" s="33">
        <f>VLOOKUP(ужин4,таб,5,FALSE)</f>
        <v>0</v>
      </c>
      <c r="AD449" s="33">
        <f>VLOOKUP(ужин5,таб,5,FALSE)</f>
        <v>0</v>
      </c>
      <c r="AE449" s="33">
        <f>VLOOKUP(ужин6,таб,5,FALSE)</f>
        <v>0</v>
      </c>
      <c r="AF449" s="33">
        <f>VLOOKUP(ужин7,таб,5,FALSE)</f>
        <v>0</v>
      </c>
      <c r="AG449" s="87">
        <f>VLOOKUP(ужин8,таб,5,FALSE)</f>
        <v>0</v>
      </c>
      <c r="AH449" s="253"/>
      <c r="AI449" s="139">
        <f>AK449/сред</f>
        <v>0</v>
      </c>
      <c r="AJ449" s="140"/>
      <c r="AK449" s="143">
        <f>SUM(G450:AG450)</f>
        <v>0</v>
      </c>
      <c r="AL449" s="143"/>
      <c r="AM449" s="131">
        <f>IF(AK449=0,0,Таблиця!BT541)</f>
        <v>0</v>
      </c>
      <c r="AN449" s="129">
        <f>AK449*AM449</f>
        <v>0</v>
      </c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</row>
    <row r="450" spans="1:66" ht="30.75" customHeight="1" hidden="1">
      <c r="A450" s="136"/>
      <c r="B450" s="137"/>
      <c r="C450" s="137"/>
      <c r="D450" s="137"/>
      <c r="E450" s="138"/>
      <c r="F450" s="107" t="s">
        <v>96</v>
      </c>
      <c r="G450" s="75">
        <f aca="true" t="shared" si="367" ref="G450:AG450">IF(G449=0,"",завтракл*G449/1000)</f>
      </c>
      <c r="H450" s="23">
        <f t="shared" si="367"/>
      </c>
      <c r="I450" s="23"/>
      <c r="J450" s="23">
        <f t="shared" si="367"/>
      </c>
      <c r="K450" s="23">
        <f t="shared" si="367"/>
      </c>
      <c r="L450" s="122">
        <f t="shared" si="367"/>
      </c>
      <c r="M450" s="75">
        <f t="shared" si="367"/>
      </c>
      <c r="N450" s="83">
        <f t="shared" si="367"/>
      </c>
      <c r="O450" s="75">
        <f t="shared" si="367"/>
      </c>
      <c r="P450" s="23">
        <f t="shared" si="367"/>
      </c>
      <c r="Q450" s="23">
        <f t="shared" si="367"/>
      </c>
      <c r="R450" s="23">
        <f t="shared" si="367"/>
      </c>
      <c r="S450" s="23">
        <f t="shared" si="367"/>
      </c>
      <c r="T450" s="23">
        <f t="shared" si="367"/>
      </c>
      <c r="U450" s="23">
        <f t="shared" si="367"/>
      </c>
      <c r="V450" s="83">
        <f t="shared" si="367"/>
      </c>
      <c r="W450" s="25">
        <f t="shared" si="367"/>
      </c>
      <c r="X450" s="23"/>
      <c r="Y450" s="83">
        <f t="shared" si="367"/>
      </c>
      <c r="Z450" s="25">
        <f t="shared" si="367"/>
      </c>
      <c r="AA450" s="23">
        <f t="shared" si="367"/>
      </c>
      <c r="AB450" s="23">
        <f t="shared" si="367"/>
      </c>
      <c r="AC450" s="23">
        <f t="shared" si="367"/>
      </c>
      <c r="AD450" s="23">
        <f t="shared" si="367"/>
      </c>
      <c r="AE450" s="23">
        <f t="shared" si="367"/>
      </c>
      <c r="AF450" s="23">
        <f t="shared" si="367"/>
      </c>
      <c r="AG450" s="83">
        <f t="shared" si="367"/>
      </c>
      <c r="AH450" s="254"/>
      <c r="AI450" s="139"/>
      <c r="AJ450" s="140"/>
      <c r="AK450" s="143"/>
      <c r="AL450" s="143"/>
      <c r="AM450" s="132"/>
      <c r="AN450" s="130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</row>
    <row r="451" spans="1:67" ht="36.75" customHeight="1">
      <c r="A451" s="125" t="s">
        <v>496</v>
      </c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6" t="s">
        <v>497</v>
      </c>
      <c r="X451" s="127"/>
      <c r="Y451" s="127"/>
      <c r="Z451" s="127"/>
      <c r="AA451" s="127"/>
      <c r="AB451" s="127"/>
      <c r="AC451" s="127"/>
      <c r="AD451" s="127"/>
      <c r="AE451" s="127"/>
      <c r="AF451" s="127"/>
      <c r="AG451" s="127"/>
      <c r="AH451" s="108" t="s">
        <v>498</v>
      </c>
      <c r="AI451" s="108"/>
      <c r="AJ451" s="108"/>
      <c r="AK451" s="108"/>
      <c r="AL451" s="108"/>
      <c r="AM451" s="128">
        <f>SUM(AN25:AN450)</f>
        <v>1031.6799839999999</v>
      </c>
      <c r="AN451" s="128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</row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</sheetData>
  <sheetProtection/>
  <mergeCells count="1373">
    <mergeCell ref="M19:N20"/>
    <mergeCell ref="AH449:AH450"/>
    <mergeCell ref="AI449:AJ450"/>
    <mergeCell ref="AK449:AL450"/>
    <mergeCell ref="AM449:AM450"/>
    <mergeCell ref="AN449:AN450"/>
    <mergeCell ref="AH445:AH446"/>
    <mergeCell ref="AI445:AJ446"/>
    <mergeCell ref="AK445:AL446"/>
    <mergeCell ref="AM445:AM446"/>
    <mergeCell ref="AN445:AN446"/>
    <mergeCell ref="AH447:AH448"/>
    <mergeCell ref="AI447:AJ448"/>
    <mergeCell ref="AK447:AL448"/>
    <mergeCell ref="AM447:AM448"/>
    <mergeCell ref="AN447:AN448"/>
    <mergeCell ref="AH441:AH442"/>
    <mergeCell ref="AI441:AJ442"/>
    <mergeCell ref="AK441:AL442"/>
    <mergeCell ref="AM441:AM442"/>
    <mergeCell ref="AN441:AN442"/>
    <mergeCell ref="AH443:AH444"/>
    <mergeCell ref="AI443:AJ444"/>
    <mergeCell ref="AK443:AL444"/>
    <mergeCell ref="AM443:AM444"/>
    <mergeCell ref="AN443:AN444"/>
    <mergeCell ref="AH437:AH438"/>
    <mergeCell ref="AI437:AJ438"/>
    <mergeCell ref="AK437:AL438"/>
    <mergeCell ref="AM437:AM438"/>
    <mergeCell ref="AN437:AN438"/>
    <mergeCell ref="AH439:AH440"/>
    <mergeCell ref="AI439:AJ440"/>
    <mergeCell ref="AK439:AL440"/>
    <mergeCell ref="AM439:AM440"/>
    <mergeCell ref="AN439:AN440"/>
    <mergeCell ref="AH433:AH434"/>
    <mergeCell ref="AI433:AJ434"/>
    <mergeCell ref="AK433:AL434"/>
    <mergeCell ref="AM433:AM434"/>
    <mergeCell ref="AN433:AN434"/>
    <mergeCell ref="AH435:AH436"/>
    <mergeCell ref="AI435:AJ436"/>
    <mergeCell ref="AK435:AL436"/>
    <mergeCell ref="AM435:AM436"/>
    <mergeCell ref="AN435:AN436"/>
    <mergeCell ref="AH429:AH430"/>
    <mergeCell ref="AI429:AJ430"/>
    <mergeCell ref="AK429:AL430"/>
    <mergeCell ref="AM429:AM430"/>
    <mergeCell ref="AN429:AN430"/>
    <mergeCell ref="AH431:AH432"/>
    <mergeCell ref="AI431:AJ432"/>
    <mergeCell ref="AK431:AL432"/>
    <mergeCell ref="AM431:AM432"/>
    <mergeCell ref="AN431:AN432"/>
    <mergeCell ref="AH425:AH426"/>
    <mergeCell ref="AI425:AJ426"/>
    <mergeCell ref="AK425:AL426"/>
    <mergeCell ref="AM425:AM426"/>
    <mergeCell ref="AN425:AN426"/>
    <mergeCell ref="AH427:AH428"/>
    <mergeCell ref="AI427:AJ428"/>
    <mergeCell ref="AK427:AL428"/>
    <mergeCell ref="AM427:AM428"/>
    <mergeCell ref="AN427:AN428"/>
    <mergeCell ref="AH421:AH422"/>
    <mergeCell ref="AI421:AJ422"/>
    <mergeCell ref="AK421:AL422"/>
    <mergeCell ref="AM421:AM422"/>
    <mergeCell ref="AN421:AN422"/>
    <mergeCell ref="AH423:AH424"/>
    <mergeCell ref="AI423:AJ424"/>
    <mergeCell ref="AK423:AL424"/>
    <mergeCell ref="AM423:AM424"/>
    <mergeCell ref="AN423:AN424"/>
    <mergeCell ref="AH417:AH418"/>
    <mergeCell ref="AI417:AJ418"/>
    <mergeCell ref="AK417:AL418"/>
    <mergeCell ref="AM417:AM418"/>
    <mergeCell ref="AN417:AN418"/>
    <mergeCell ref="AH419:AH420"/>
    <mergeCell ref="AI419:AJ420"/>
    <mergeCell ref="AK419:AL420"/>
    <mergeCell ref="AM419:AM420"/>
    <mergeCell ref="AN419:AN420"/>
    <mergeCell ref="AH413:AH414"/>
    <mergeCell ref="AI413:AJ414"/>
    <mergeCell ref="AK413:AL414"/>
    <mergeCell ref="AM413:AM414"/>
    <mergeCell ref="AN413:AN414"/>
    <mergeCell ref="AH415:AH416"/>
    <mergeCell ref="AI415:AJ416"/>
    <mergeCell ref="AK415:AL416"/>
    <mergeCell ref="AM415:AM416"/>
    <mergeCell ref="AN415:AN416"/>
    <mergeCell ref="AH409:AH410"/>
    <mergeCell ref="AI409:AJ410"/>
    <mergeCell ref="AK409:AL410"/>
    <mergeCell ref="AM409:AM410"/>
    <mergeCell ref="AN409:AN410"/>
    <mergeCell ref="AH411:AH412"/>
    <mergeCell ref="AI411:AJ412"/>
    <mergeCell ref="AK411:AL412"/>
    <mergeCell ref="AM411:AM412"/>
    <mergeCell ref="AN411:AN412"/>
    <mergeCell ref="AH405:AH406"/>
    <mergeCell ref="AI405:AJ406"/>
    <mergeCell ref="AK405:AL406"/>
    <mergeCell ref="AM405:AM406"/>
    <mergeCell ref="AN405:AN406"/>
    <mergeCell ref="AH407:AH408"/>
    <mergeCell ref="AI407:AJ408"/>
    <mergeCell ref="AK407:AL408"/>
    <mergeCell ref="AM407:AM408"/>
    <mergeCell ref="AN407:AN408"/>
    <mergeCell ref="AH401:AH402"/>
    <mergeCell ref="AI401:AJ402"/>
    <mergeCell ref="AK401:AL402"/>
    <mergeCell ref="AM401:AM402"/>
    <mergeCell ref="AN401:AN402"/>
    <mergeCell ref="AH403:AH404"/>
    <mergeCell ref="AI403:AJ404"/>
    <mergeCell ref="AK403:AL404"/>
    <mergeCell ref="AM403:AM404"/>
    <mergeCell ref="AN403:AN404"/>
    <mergeCell ref="AH397:AH398"/>
    <mergeCell ref="AI397:AJ398"/>
    <mergeCell ref="AK397:AL398"/>
    <mergeCell ref="AM397:AM398"/>
    <mergeCell ref="AN397:AN398"/>
    <mergeCell ref="AH399:AH400"/>
    <mergeCell ref="AI399:AJ400"/>
    <mergeCell ref="AK399:AL400"/>
    <mergeCell ref="AM399:AM400"/>
    <mergeCell ref="AN399:AN400"/>
    <mergeCell ref="AH393:AH394"/>
    <mergeCell ref="AI393:AJ394"/>
    <mergeCell ref="AK393:AL394"/>
    <mergeCell ref="AM393:AM394"/>
    <mergeCell ref="AN393:AN394"/>
    <mergeCell ref="AH395:AH396"/>
    <mergeCell ref="AI395:AJ396"/>
    <mergeCell ref="AK395:AL396"/>
    <mergeCell ref="AM395:AM396"/>
    <mergeCell ref="AN395:AN396"/>
    <mergeCell ref="AH389:AH390"/>
    <mergeCell ref="AI389:AJ390"/>
    <mergeCell ref="AK389:AL390"/>
    <mergeCell ref="AM389:AM390"/>
    <mergeCell ref="AN389:AN390"/>
    <mergeCell ref="AH391:AH392"/>
    <mergeCell ref="AI391:AJ392"/>
    <mergeCell ref="AK391:AL392"/>
    <mergeCell ref="AM391:AM392"/>
    <mergeCell ref="AN391:AN392"/>
    <mergeCell ref="AH385:AH386"/>
    <mergeCell ref="AI385:AJ386"/>
    <mergeCell ref="AK385:AL386"/>
    <mergeCell ref="AM385:AM386"/>
    <mergeCell ref="AN385:AN386"/>
    <mergeCell ref="AH387:AH388"/>
    <mergeCell ref="AI387:AJ388"/>
    <mergeCell ref="AK387:AL388"/>
    <mergeCell ref="AM387:AM388"/>
    <mergeCell ref="AN387:AN388"/>
    <mergeCell ref="AH381:AH382"/>
    <mergeCell ref="AI381:AJ382"/>
    <mergeCell ref="AK381:AL382"/>
    <mergeCell ref="AM381:AM382"/>
    <mergeCell ref="AN381:AN382"/>
    <mergeCell ref="AH383:AH384"/>
    <mergeCell ref="AI383:AJ384"/>
    <mergeCell ref="AK383:AL384"/>
    <mergeCell ref="AM383:AM384"/>
    <mergeCell ref="AN383:AN384"/>
    <mergeCell ref="AH377:AH378"/>
    <mergeCell ref="AI377:AJ378"/>
    <mergeCell ref="AK377:AL378"/>
    <mergeCell ref="AM377:AM378"/>
    <mergeCell ref="AN377:AN378"/>
    <mergeCell ref="AH379:AH380"/>
    <mergeCell ref="AI379:AJ380"/>
    <mergeCell ref="AK379:AL380"/>
    <mergeCell ref="AM379:AM380"/>
    <mergeCell ref="AN379:AN380"/>
    <mergeCell ref="AH373:AH374"/>
    <mergeCell ref="AI373:AJ374"/>
    <mergeCell ref="AK373:AL374"/>
    <mergeCell ref="AM373:AM374"/>
    <mergeCell ref="AN373:AN374"/>
    <mergeCell ref="AH375:AH376"/>
    <mergeCell ref="AI375:AJ376"/>
    <mergeCell ref="AK375:AL376"/>
    <mergeCell ref="AM375:AM376"/>
    <mergeCell ref="AN375:AN376"/>
    <mergeCell ref="AH369:AH370"/>
    <mergeCell ref="AI369:AJ370"/>
    <mergeCell ref="AK369:AL370"/>
    <mergeCell ref="AM369:AM370"/>
    <mergeCell ref="AN369:AN370"/>
    <mergeCell ref="AH371:AH372"/>
    <mergeCell ref="AI371:AJ372"/>
    <mergeCell ref="AK371:AL372"/>
    <mergeCell ref="AM371:AM372"/>
    <mergeCell ref="AN371:AN372"/>
    <mergeCell ref="AH365:AH366"/>
    <mergeCell ref="AI365:AJ366"/>
    <mergeCell ref="AK365:AL366"/>
    <mergeCell ref="AM365:AM366"/>
    <mergeCell ref="AN365:AN366"/>
    <mergeCell ref="AH367:AH368"/>
    <mergeCell ref="AI367:AJ368"/>
    <mergeCell ref="AK367:AL368"/>
    <mergeCell ref="AM367:AM368"/>
    <mergeCell ref="AN367:AN368"/>
    <mergeCell ref="AH361:AH362"/>
    <mergeCell ref="AI361:AJ362"/>
    <mergeCell ref="AK361:AL362"/>
    <mergeCell ref="AM361:AM362"/>
    <mergeCell ref="AN361:AN362"/>
    <mergeCell ref="AH363:AH364"/>
    <mergeCell ref="AI363:AJ364"/>
    <mergeCell ref="AK363:AL364"/>
    <mergeCell ref="AM363:AM364"/>
    <mergeCell ref="AN363:AN364"/>
    <mergeCell ref="AH357:AH358"/>
    <mergeCell ref="AI357:AJ358"/>
    <mergeCell ref="AK357:AL358"/>
    <mergeCell ref="AM357:AM358"/>
    <mergeCell ref="AN357:AN358"/>
    <mergeCell ref="AH359:AH360"/>
    <mergeCell ref="AI359:AJ360"/>
    <mergeCell ref="AK359:AL360"/>
    <mergeCell ref="AM359:AM360"/>
    <mergeCell ref="AN359:AN360"/>
    <mergeCell ref="AH353:AH354"/>
    <mergeCell ref="AI353:AJ354"/>
    <mergeCell ref="AK353:AL354"/>
    <mergeCell ref="AM353:AM354"/>
    <mergeCell ref="AN353:AN354"/>
    <mergeCell ref="AH355:AH356"/>
    <mergeCell ref="AI355:AJ356"/>
    <mergeCell ref="AK355:AL356"/>
    <mergeCell ref="AM355:AM356"/>
    <mergeCell ref="AN355:AN356"/>
    <mergeCell ref="AH349:AH350"/>
    <mergeCell ref="AI349:AJ350"/>
    <mergeCell ref="AK349:AL350"/>
    <mergeCell ref="AM349:AM350"/>
    <mergeCell ref="AN349:AN350"/>
    <mergeCell ref="AH351:AH352"/>
    <mergeCell ref="AI351:AJ352"/>
    <mergeCell ref="AK351:AL352"/>
    <mergeCell ref="AM351:AM352"/>
    <mergeCell ref="AN351:AN352"/>
    <mergeCell ref="AH345:AH346"/>
    <mergeCell ref="AI345:AJ346"/>
    <mergeCell ref="AK345:AL346"/>
    <mergeCell ref="AM345:AM346"/>
    <mergeCell ref="AN345:AN346"/>
    <mergeCell ref="AH347:AH348"/>
    <mergeCell ref="AI347:AJ348"/>
    <mergeCell ref="AK347:AL348"/>
    <mergeCell ref="AM347:AM348"/>
    <mergeCell ref="AN347:AN348"/>
    <mergeCell ref="AH341:AH342"/>
    <mergeCell ref="AI341:AJ342"/>
    <mergeCell ref="AK341:AL342"/>
    <mergeCell ref="AM341:AM342"/>
    <mergeCell ref="AN341:AN342"/>
    <mergeCell ref="AH343:AH344"/>
    <mergeCell ref="AI343:AJ344"/>
    <mergeCell ref="AK343:AL344"/>
    <mergeCell ref="AM343:AM344"/>
    <mergeCell ref="AN343:AN344"/>
    <mergeCell ref="AH337:AH338"/>
    <mergeCell ref="AI337:AJ338"/>
    <mergeCell ref="AK337:AL338"/>
    <mergeCell ref="AM337:AM338"/>
    <mergeCell ref="AN337:AN338"/>
    <mergeCell ref="AH339:AH340"/>
    <mergeCell ref="AI339:AJ340"/>
    <mergeCell ref="AK339:AL340"/>
    <mergeCell ref="AM339:AM340"/>
    <mergeCell ref="AN339:AN340"/>
    <mergeCell ref="AH333:AH334"/>
    <mergeCell ref="AI333:AJ334"/>
    <mergeCell ref="AK333:AL334"/>
    <mergeCell ref="AM333:AM334"/>
    <mergeCell ref="AN333:AN334"/>
    <mergeCell ref="AH335:AH336"/>
    <mergeCell ref="AI335:AJ336"/>
    <mergeCell ref="AK335:AL336"/>
    <mergeCell ref="AM335:AM336"/>
    <mergeCell ref="AN335:AN336"/>
    <mergeCell ref="AH329:AH330"/>
    <mergeCell ref="AI329:AJ330"/>
    <mergeCell ref="AK329:AL330"/>
    <mergeCell ref="AM329:AM330"/>
    <mergeCell ref="AN329:AN330"/>
    <mergeCell ref="AH331:AH332"/>
    <mergeCell ref="AI331:AJ332"/>
    <mergeCell ref="AK331:AL332"/>
    <mergeCell ref="AM331:AM332"/>
    <mergeCell ref="AN331:AN332"/>
    <mergeCell ref="AH325:AH326"/>
    <mergeCell ref="AI325:AJ326"/>
    <mergeCell ref="AK325:AL326"/>
    <mergeCell ref="AM325:AM326"/>
    <mergeCell ref="AN325:AN326"/>
    <mergeCell ref="AH327:AH328"/>
    <mergeCell ref="AI327:AJ328"/>
    <mergeCell ref="AK327:AL328"/>
    <mergeCell ref="AM327:AM328"/>
    <mergeCell ref="AN327:AN328"/>
    <mergeCell ref="AH321:AH322"/>
    <mergeCell ref="AI321:AJ322"/>
    <mergeCell ref="AK321:AL322"/>
    <mergeCell ref="AM321:AM322"/>
    <mergeCell ref="AN321:AN322"/>
    <mergeCell ref="AH323:AH324"/>
    <mergeCell ref="AI323:AJ324"/>
    <mergeCell ref="AK323:AL324"/>
    <mergeCell ref="AM323:AM324"/>
    <mergeCell ref="AN323:AN324"/>
    <mergeCell ref="AH317:AH318"/>
    <mergeCell ref="AI317:AJ318"/>
    <mergeCell ref="AK317:AL318"/>
    <mergeCell ref="AM317:AM318"/>
    <mergeCell ref="AN317:AN318"/>
    <mergeCell ref="AH319:AH320"/>
    <mergeCell ref="AI319:AJ320"/>
    <mergeCell ref="AK319:AL320"/>
    <mergeCell ref="AM319:AM320"/>
    <mergeCell ref="AN319:AN320"/>
    <mergeCell ref="AH313:AH314"/>
    <mergeCell ref="AI313:AJ314"/>
    <mergeCell ref="AK313:AL314"/>
    <mergeCell ref="AM313:AM314"/>
    <mergeCell ref="AN313:AN314"/>
    <mergeCell ref="AH315:AH316"/>
    <mergeCell ref="AI315:AJ316"/>
    <mergeCell ref="AK315:AL316"/>
    <mergeCell ref="AM315:AM316"/>
    <mergeCell ref="AN315:AN316"/>
    <mergeCell ref="AH309:AH310"/>
    <mergeCell ref="AI309:AJ310"/>
    <mergeCell ref="AK309:AL310"/>
    <mergeCell ref="AM309:AM310"/>
    <mergeCell ref="AN309:AN310"/>
    <mergeCell ref="AH311:AH312"/>
    <mergeCell ref="AI311:AJ312"/>
    <mergeCell ref="AK311:AL312"/>
    <mergeCell ref="AM311:AM312"/>
    <mergeCell ref="AN311:AN312"/>
    <mergeCell ref="AH305:AH306"/>
    <mergeCell ref="AI305:AJ306"/>
    <mergeCell ref="AK305:AL306"/>
    <mergeCell ref="AM305:AM306"/>
    <mergeCell ref="AN305:AN306"/>
    <mergeCell ref="AH307:AH308"/>
    <mergeCell ref="AI307:AJ308"/>
    <mergeCell ref="AK307:AL308"/>
    <mergeCell ref="AM307:AM308"/>
    <mergeCell ref="AN307:AN308"/>
    <mergeCell ref="AH301:AH302"/>
    <mergeCell ref="AI301:AJ302"/>
    <mergeCell ref="AK301:AL302"/>
    <mergeCell ref="AM301:AM302"/>
    <mergeCell ref="AN301:AN302"/>
    <mergeCell ref="AH303:AH304"/>
    <mergeCell ref="AI303:AJ304"/>
    <mergeCell ref="AK303:AL304"/>
    <mergeCell ref="AM303:AM304"/>
    <mergeCell ref="AN303:AN304"/>
    <mergeCell ref="AH297:AH298"/>
    <mergeCell ref="AI297:AJ298"/>
    <mergeCell ref="AK297:AL298"/>
    <mergeCell ref="AM297:AM298"/>
    <mergeCell ref="AN297:AN298"/>
    <mergeCell ref="AH299:AH300"/>
    <mergeCell ref="AI299:AJ300"/>
    <mergeCell ref="AK299:AL300"/>
    <mergeCell ref="AM299:AM300"/>
    <mergeCell ref="AN299:AN300"/>
    <mergeCell ref="AH293:AH294"/>
    <mergeCell ref="AI293:AJ294"/>
    <mergeCell ref="AK293:AL294"/>
    <mergeCell ref="AM293:AM294"/>
    <mergeCell ref="AN293:AN294"/>
    <mergeCell ref="AH295:AH296"/>
    <mergeCell ref="AI295:AJ296"/>
    <mergeCell ref="AK295:AL296"/>
    <mergeCell ref="AM295:AM296"/>
    <mergeCell ref="AN295:AN296"/>
    <mergeCell ref="AH289:AH290"/>
    <mergeCell ref="AI289:AJ290"/>
    <mergeCell ref="AK289:AL290"/>
    <mergeCell ref="AM289:AM290"/>
    <mergeCell ref="AN289:AN290"/>
    <mergeCell ref="AH291:AH292"/>
    <mergeCell ref="AI291:AJ292"/>
    <mergeCell ref="AK291:AL292"/>
    <mergeCell ref="AM291:AM292"/>
    <mergeCell ref="AN291:AN292"/>
    <mergeCell ref="AH285:AH286"/>
    <mergeCell ref="AI285:AJ286"/>
    <mergeCell ref="AK285:AL286"/>
    <mergeCell ref="AM285:AM286"/>
    <mergeCell ref="AN285:AN286"/>
    <mergeCell ref="AH287:AH288"/>
    <mergeCell ref="AI287:AJ288"/>
    <mergeCell ref="AK287:AL288"/>
    <mergeCell ref="AM287:AM288"/>
    <mergeCell ref="AN287:AN288"/>
    <mergeCell ref="AH281:AH282"/>
    <mergeCell ref="AI281:AJ282"/>
    <mergeCell ref="AK281:AL282"/>
    <mergeCell ref="AM281:AM282"/>
    <mergeCell ref="AN281:AN282"/>
    <mergeCell ref="AH283:AH284"/>
    <mergeCell ref="AI283:AJ284"/>
    <mergeCell ref="AK283:AL284"/>
    <mergeCell ref="AM283:AM284"/>
    <mergeCell ref="AN283:AN284"/>
    <mergeCell ref="AH277:AH278"/>
    <mergeCell ref="AI277:AJ278"/>
    <mergeCell ref="AK277:AL278"/>
    <mergeCell ref="AM277:AM278"/>
    <mergeCell ref="AN277:AN278"/>
    <mergeCell ref="AH279:AH280"/>
    <mergeCell ref="AI279:AJ280"/>
    <mergeCell ref="AK279:AL280"/>
    <mergeCell ref="AM279:AM280"/>
    <mergeCell ref="AN279:AN280"/>
    <mergeCell ref="AH273:AH274"/>
    <mergeCell ref="AI273:AJ274"/>
    <mergeCell ref="AK273:AL274"/>
    <mergeCell ref="AM273:AM274"/>
    <mergeCell ref="AN273:AN274"/>
    <mergeCell ref="AH275:AH276"/>
    <mergeCell ref="AI275:AJ276"/>
    <mergeCell ref="AK275:AL276"/>
    <mergeCell ref="AM275:AM276"/>
    <mergeCell ref="AN275:AN276"/>
    <mergeCell ref="AH269:AH270"/>
    <mergeCell ref="AI269:AJ270"/>
    <mergeCell ref="AK269:AL270"/>
    <mergeCell ref="AM269:AM270"/>
    <mergeCell ref="AN269:AN270"/>
    <mergeCell ref="AH271:AH272"/>
    <mergeCell ref="AI271:AJ272"/>
    <mergeCell ref="AK271:AL272"/>
    <mergeCell ref="AM271:AM272"/>
    <mergeCell ref="AN271:AN272"/>
    <mergeCell ref="AH265:AH266"/>
    <mergeCell ref="AI265:AJ266"/>
    <mergeCell ref="AK265:AL266"/>
    <mergeCell ref="AM265:AM266"/>
    <mergeCell ref="AN265:AN266"/>
    <mergeCell ref="AH267:AH268"/>
    <mergeCell ref="AI267:AJ268"/>
    <mergeCell ref="AK267:AL268"/>
    <mergeCell ref="AM267:AM268"/>
    <mergeCell ref="AN267:AN268"/>
    <mergeCell ref="AH261:AH262"/>
    <mergeCell ref="AI261:AJ262"/>
    <mergeCell ref="AK261:AL262"/>
    <mergeCell ref="AM261:AM262"/>
    <mergeCell ref="AN261:AN262"/>
    <mergeCell ref="AH263:AH264"/>
    <mergeCell ref="AI263:AJ264"/>
    <mergeCell ref="AK263:AL264"/>
    <mergeCell ref="AM263:AM264"/>
    <mergeCell ref="AN263:AN264"/>
    <mergeCell ref="AH257:AH258"/>
    <mergeCell ref="AI257:AJ258"/>
    <mergeCell ref="AK257:AL258"/>
    <mergeCell ref="AM257:AM258"/>
    <mergeCell ref="AN257:AN258"/>
    <mergeCell ref="AH259:AH260"/>
    <mergeCell ref="AI259:AJ260"/>
    <mergeCell ref="AK259:AL260"/>
    <mergeCell ref="AM259:AM260"/>
    <mergeCell ref="AN259:AN260"/>
    <mergeCell ref="AH253:AH254"/>
    <mergeCell ref="AI253:AJ254"/>
    <mergeCell ref="AK253:AL254"/>
    <mergeCell ref="AM253:AM254"/>
    <mergeCell ref="AN253:AN254"/>
    <mergeCell ref="AH255:AH256"/>
    <mergeCell ref="AI255:AJ256"/>
    <mergeCell ref="AK255:AL256"/>
    <mergeCell ref="AM255:AM256"/>
    <mergeCell ref="AN255:AN256"/>
    <mergeCell ref="AH249:AH250"/>
    <mergeCell ref="AI249:AJ250"/>
    <mergeCell ref="AK249:AL250"/>
    <mergeCell ref="AM249:AM250"/>
    <mergeCell ref="AN249:AN250"/>
    <mergeCell ref="AH251:AH252"/>
    <mergeCell ref="AI251:AJ252"/>
    <mergeCell ref="AK251:AL252"/>
    <mergeCell ref="AM251:AM252"/>
    <mergeCell ref="AN251:AN252"/>
    <mergeCell ref="AH245:AH246"/>
    <mergeCell ref="AI245:AJ246"/>
    <mergeCell ref="AK245:AL246"/>
    <mergeCell ref="AM245:AM246"/>
    <mergeCell ref="AN245:AN246"/>
    <mergeCell ref="AH247:AH248"/>
    <mergeCell ref="AI247:AJ248"/>
    <mergeCell ref="AK247:AL248"/>
    <mergeCell ref="AM247:AM248"/>
    <mergeCell ref="AN247:AN248"/>
    <mergeCell ref="AH241:AH242"/>
    <mergeCell ref="AI241:AJ242"/>
    <mergeCell ref="AK241:AL242"/>
    <mergeCell ref="AM241:AM242"/>
    <mergeCell ref="AN241:AN242"/>
    <mergeCell ref="AH243:AH244"/>
    <mergeCell ref="AI243:AJ244"/>
    <mergeCell ref="AK243:AL244"/>
    <mergeCell ref="AM243:AM244"/>
    <mergeCell ref="AN243:AN244"/>
    <mergeCell ref="AH237:AH238"/>
    <mergeCell ref="AI237:AJ238"/>
    <mergeCell ref="AK237:AL238"/>
    <mergeCell ref="AM237:AM238"/>
    <mergeCell ref="AN237:AN238"/>
    <mergeCell ref="AH239:AH240"/>
    <mergeCell ref="AI239:AJ240"/>
    <mergeCell ref="AK239:AL240"/>
    <mergeCell ref="AM239:AM240"/>
    <mergeCell ref="AN239:AN240"/>
    <mergeCell ref="AH233:AH234"/>
    <mergeCell ref="AI233:AJ234"/>
    <mergeCell ref="AK233:AL234"/>
    <mergeCell ref="AM233:AM234"/>
    <mergeCell ref="AN233:AN234"/>
    <mergeCell ref="AH235:AH236"/>
    <mergeCell ref="AI235:AJ236"/>
    <mergeCell ref="AK235:AL236"/>
    <mergeCell ref="AM235:AM236"/>
    <mergeCell ref="AN235:AN236"/>
    <mergeCell ref="AH229:AH230"/>
    <mergeCell ref="AI229:AJ230"/>
    <mergeCell ref="AK229:AL230"/>
    <mergeCell ref="AM229:AM230"/>
    <mergeCell ref="AN229:AN230"/>
    <mergeCell ref="AH231:AH232"/>
    <mergeCell ref="AI231:AJ232"/>
    <mergeCell ref="AK231:AL232"/>
    <mergeCell ref="AM231:AM232"/>
    <mergeCell ref="AN231:AN232"/>
    <mergeCell ref="AH225:AH226"/>
    <mergeCell ref="AI225:AJ226"/>
    <mergeCell ref="AK225:AL226"/>
    <mergeCell ref="AM225:AM226"/>
    <mergeCell ref="AN225:AN226"/>
    <mergeCell ref="AH227:AH228"/>
    <mergeCell ref="AI227:AJ228"/>
    <mergeCell ref="AK227:AL228"/>
    <mergeCell ref="AM227:AM228"/>
    <mergeCell ref="AN227:AN228"/>
    <mergeCell ref="AH221:AH222"/>
    <mergeCell ref="AI221:AJ222"/>
    <mergeCell ref="AK221:AL222"/>
    <mergeCell ref="AM221:AM222"/>
    <mergeCell ref="AN221:AN222"/>
    <mergeCell ref="AH223:AH224"/>
    <mergeCell ref="AI223:AJ224"/>
    <mergeCell ref="AK223:AL224"/>
    <mergeCell ref="AM223:AM224"/>
    <mergeCell ref="AN223:AN224"/>
    <mergeCell ref="AH217:AH218"/>
    <mergeCell ref="AI217:AJ218"/>
    <mergeCell ref="AK217:AL218"/>
    <mergeCell ref="AM217:AM218"/>
    <mergeCell ref="AN217:AN218"/>
    <mergeCell ref="AH219:AH220"/>
    <mergeCell ref="AI219:AJ220"/>
    <mergeCell ref="AK219:AL220"/>
    <mergeCell ref="AM219:AM220"/>
    <mergeCell ref="AN219:AN220"/>
    <mergeCell ref="AH213:AH214"/>
    <mergeCell ref="AI213:AJ214"/>
    <mergeCell ref="AK213:AL214"/>
    <mergeCell ref="AM213:AM214"/>
    <mergeCell ref="AN213:AN214"/>
    <mergeCell ref="AH215:AH216"/>
    <mergeCell ref="AI215:AJ216"/>
    <mergeCell ref="AK215:AL216"/>
    <mergeCell ref="AM215:AM216"/>
    <mergeCell ref="AN215:AN216"/>
    <mergeCell ref="AH209:AH210"/>
    <mergeCell ref="AI209:AJ210"/>
    <mergeCell ref="AK209:AL210"/>
    <mergeCell ref="AM209:AM210"/>
    <mergeCell ref="AN209:AN210"/>
    <mergeCell ref="AH211:AH212"/>
    <mergeCell ref="AI211:AJ212"/>
    <mergeCell ref="AK211:AL212"/>
    <mergeCell ref="AM211:AM212"/>
    <mergeCell ref="AN211:AN212"/>
    <mergeCell ref="AH205:AH206"/>
    <mergeCell ref="AI205:AJ206"/>
    <mergeCell ref="AK205:AL206"/>
    <mergeCell ref="AM205:AM206"/>
    <mergeCell ref="AN205:AN206"/>
    <mergeCell ref="AH207:AH208"/>
    <mergeCell ref="AI207:AJ208"/>
    <mergeCell ref="AK207:AL208"/>
    <mergeCell ref="AM207:AM208"/>
    <mergeCell ref="AN207:AN208"/>
    <mergeCell ref="AH201:AH202"/>
    <mergeCell ref="AI201:AJ202"/>
    <mergeCell ref="AK201:AL202"/>
    <mergeCell ref="AM201:AM202"/>
    <mergeCell ref="AN201:AN202"/>
    <mergeCell ref="AH203:AH204"/>
    <mergeCell ref="AI203:AJ204"/>
    <mergeCell ref="AK203:AL204"/>
    <mergeCell ref="AM203:AM204"/>
    <mergeCell ref="AN203:AN204"/>
    <mergeCell ref="AH197:AH198"/>
    <mergeCell ref="AI197:AJ198"/>
    <mergeCell ref="AK197:AL198"/>
    <mergeCell ref="AM197:AM198"/>
    <mergeCell ref="AN197:AN198"/>
    <mergeCell ref="AH199:AH200"/>
    <mergeCell ref="AI199:AJ200"/>
    <mergeCell ref="AK199:AL200"/>
    <mergeCell ref="AM199:AM200"/>
    <mergeCell ref="AN199:AN200"/>
    <mergeCell ref="AH193:AH194"/>
    <mergeCell ref="AI193:AJ194"/>
    <mergeCell ref="AK193:AL194"/>
    <mergeCell ref="AM193:AM194"/>
    <mergeCell ref="AN193:AN194"/>
    <mergeCell ref="AH195:AH196"/>
    <mergeCell ref="AI195:AJ196"/>
    <mergeCell ref="AK195:AL196"/>
    <mergeCell ref="AM195:AM196"/>
    <mergeCell ref="AN195:AN196"/>
    <mergeCell ref="AH189:AH190"/>
    <mergeCell ref="AI189:AJ190"/>
    <mergeCell ref="AK189:AL190"/>
    <mergeCell ref="AM189:AM190"/>
    <mergeCell ref="AN189:AN190"/>
    <mergeCell ref="AH191:AH192"/>
    <mergeCell ref="AI191:AJ192"/>
    <mergeCell ref="AK191:AL192"/>
    <mergeCell ref="AM191:AM192"/>
    <mergeCell ref="AN191:AN192"/>
    <mergeCell ref="AH185:AH186"/>
    <mergeCell ref="AI185:AJ186"/>
    <mergeCell ref="AK185:AL186"/>
    <mergeCell ref="AM185:AM186"/>
    <mergeCell ref="AN185:AN186"/>
    <mergeCell ref="AH187:AH188"/>
    <mergeCell ref="AI187:AJ188"/>
    <mergeCell ref="AK187:AL188"/>
    <mergeCell ref="AM187:AM188"/>
    <mergeCell ref="AN187:AN188"/>
    <mergeCell ref="AI181:AJ182"/>
    <mergeCell ref="AK181:AL182"/>
    <mergeCell ref="AM181:AM182"/>
    <mergeCell ref="AN181:AN182"/>
    <mergeCell ref="AH181:AH182"/>
    <mergeCell ref="AH183:AH184"/>
    <mergeCell ref="AI183:AJ184"/>
    <mergeCell ref="AK183:AL184"/>
    <mergeCell ref="AM183:AM184"/>
    <mergeCell ref="AN183:AN184"/>
    <mergeCell ref="A373:E374"/>
    <mergeCell ref="A375:E376"/>
    <mergeCell ref="A377:E378"/>
    <mergeCell ref="A379:E380"/>
    <mergeCell ref="A399:E400"/>
    <mergeCell ref="A381:E382"/>
    <mergeCell ref="A383:E384"/>
    <mergeCell ref="A401:E402"/>
    <mergeCell ref="A385:E386"/>
    <mergeCell ref="A387:E388"/>
    <mergeCell ref="A389:E390"/>
    <mergeCell ref="A391:E392"/>
    <mergeCell ref="A393:E394"/>
    <mergeCell ref="A395:E396"/>
    <mergeCell ref="A397:E398"/>
    <mergeCell ref="A361:E362"/>
    <mergeCell ref="A363:E364"/>
    <mergeCell ref="A365:E366"/>
    <mergeCell ref="A367:E368"/>
    <mergeCell ref="A369:E370"/>
    <mergeCell ref="A371:E372"/>
    <mergeCell ref="A349:E350"/>
    <mergeCell ref="A351:E352"/>
    <mergeCell ref="A353:E354"/>
    <mergeCell ref="A355:E356"/>
    <mergeCell ref="A357:E358"/>
    <mergeCell ref="A359:E360"/>
    <mergeCell ref="A337:E338"/>
    <mergeCell ref="A339:E340"/>
    <mergeCell ref="A341:E342"/>
    <mergeCell ref="A343:E344"/>
    <mergeCell ref="A345:E346"/>
    <mergeCell ref="A347:E348"/>
    <mergeCell ref="A325:E326"/>
    <mergeCell ref="A327:E328"/>
    <mergeCell ref="A329:E330"/>
    <mergeCell ref="A331:E332"/>
    <mergeCell ref="A333:E334"/>
    <mergeCell ref="A335:E336"/>
    <mergeCell ref="A313:E314"/>
    <mergeCell ref="A315:E316"/>
    <mergeCell ref="A317:E318"/>
    <mergeCell ref="A319:E320"/>
    <mergeCell ref="A321:E322"/>
    <mergeCell ref="A323:E324"/>
    <mergeCell ref="A301:E302"/>
    <mergeCell ref="A303:E304"/>
    <mergeCell ref="A305:E306"/>
    <mergeCell ref="A307:E308"/>
    <mergeCell ref="A309:E310"/>
    <mergeCell ref="A311:E312"/>
    <mergeCell ref="A289:E290"/>
    <mergeCell ref="A291:E292"/>
    <mergeCell ref="A293:E294"/>
    <mergeCell ref="A295:E296"/>
    <mergeCell ref="A297:E298"/>
    <mergeCell ref="A299:E300"/>
    <mergeCell ref="A277:E278"/>
    <mergeCell ref="A279:E280"/>
    <mergeCell ref="A281:E282"/>
    <mergeCell ref="A283:E284"/>
    <mergeCell ref="A285:E286"/>
    <mergeCell ref="A287:E288"/>
    <mergeCell ref="A265:E266"/>
    <mergeCell ref="A267:E268"/>
    <mergeCell ref="A269:E270"/>
    <mergeCell ref="A271:E272"/>
    <mergeCell ref="A273:E274"/>
    <mergeCell ref="A275:E276"/>
    <mergeCell ref="A253:E254"/>
    <mergeCell ref="A255:E256"/>
    <mergeCell ref="A257:E258"/>
    <mergeCell ref="A259:E260"/>
    <mergeCell ref="A261:E262"/>
    <mergeCell ref="A263:E264"/>
    <mergeCell ref="A241:E242"/>
    <mergeCell ref="A243:E244"/>
    <mergeCell ref="A245:E246"/>
    <mergeCell ref="A247:E248"/>
    <mergeCell ref="A249:E250"/>
    <mergeCell ref="A251:E252"/>
    <mergeCell ref="A217:E218"/>
    <mergeCell ref="A219:E220"/>
    <mergeCell ref="A221:E222"/>
    <mergeCell ref="A223:E224"/>
    <mergeCell ref="A225:E226"/>
    <mergeCell ref="A227:E228"/>
    <mergeCell ref="A205:E206"/>
    <mergeCell ref="A207:E208"/>
    <mergeCell ref="A209:E210"/>
    <mergeCell ref="A211:E212"/>
    <mergeCell ref="A213:E214"/>
    <mergeCell ref="A215:E216"/>
    <mergeCell ref="A193:E194"/>
    <mergeCell ref="A195:E196"/>
    <mergeCell ref="A197:E198"/>
    <mergeCell ref="A199:E200"/>
    <mergeCell ref="A201:E202"/>
    <mergeCell ref="A203:E204"/>
    <mergeCell ref="A181:E182"/>
    <mergeCell ref="A183:E184"/>
    <mergeCell ref="A185:E186"/>
    <mergeCell ref="A187:E188"/>
    <mergeCell ref="A189:E190"/>
    <mergeCell ref="A191:E19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169:E170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61:E62"/>
    <mergeCell ref="A175:E176"/>
    <mergeCell ref="A83:E84"/>
    <mergeCell ref="A85:E86"/>
    <mergeCell ref="A87:E88"/>
    <mergeCell ref="A143:E144"/>
    <mergeCell ref="A145:E146"/>
    <mergeCell ref="A103:E104"/>
    <mergeCell ref="A105:E106"/>
    <mergeCell ref="A173:E174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111:E112"/>
    <mergeCell ref="A125:E126"/>
    <mergeCell ref="A63:E64"/>
    <mergeCell ref="A65:E66"/>
    <mergeCell ref="A73:E74"/>
    <mergeCell ref="A89:E90"/>
    <mergeCell ref="A91:E92"/>
    <mergeCell ref="A93:E94"/>
    <mergeCell ref="A77:E78"/>
    <mergeCell ref="A75:E76"/>
    <mergeCell ref="AI39:AJ40"/>
    <mergeCell ref="AH39:AH4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I27:AJ28"/>
    <mergeCell ref="AI29:AJ30"/>
    <mergeCell ref="AI31:AJ32"/>
    <mergeCell ref="AI33:AJ34"/>
    <mergeCell ref="AH27:AH28"/>
    <mergeCell ref="A117:E118"/>
    <mergeCell ref="AI65:AJ66"/>
    <mergeCell ref="AH33:AH34"/>
    <mergeCell ref="AI45:AJ46"/>
    <mergeCell ref="AI63:AJ64"/>
    <mergeCell ref="AH29:AH30"/>
    <mergeCell ref="AH37:AH38"/>
    <mergeCell ref="AM29:AM30"/>
    <mergeCell ref="AK35:AL36"/>
    <mergeCell ref="AK37:AL38"/>
    <mergeCell ref="A157:E158"/>
    <mergeCell ref="A119:E120"/>
    <mergeCell ref="A151:E152"/>
    <mergeCell ref="A153:E154"/>
    <mergeCell ref="A79:E80"/>
    <mergeCell ref="AK39:AL40"/>
    <mergeCell ref="AM31:AM32"/>
    <mergeCell ref="AH31:AH32"/>
    <mergeCell ref="AI35:AJ36"/>
    <mergeCell ref="AI37:AJ38"/>
    <mergeCell ref="AM43:AM44"/>
    <mergeCell ref="AI43:AJ44"/>
    <mergeCell ref="AH35:AH36"/>
    <mergeCell ref="AH41:AH42"/>
    <mergeCell ref="AI41:AJ42"/>
    <mergeCell ref="AM45:AM46"/>
    <mergeCell ref="AI55:AJ56"/>
    <mergeCell ref="AM57:AM58"/>
    <mergeCell ref="AI47:AJ48"/>
    <mergeCell ref="AI49:AJ50"/>
    <mergeCell ref="AI53:AJ54"/>
    <mergeCell ref="AK55:AL56"/>
    <mergeCell ref="AM53:AM54"/>
    <mergeCell ref="AI57:AJ58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AF7:AN7"/>
    <mergeCell ref="AI24:AJ24"/>
    <mergeCell ref="AI25:AJ26"/>
    <mergeCell ref="N9:P12"/>
    <mergeCell ref="Q9:S12"/>
    <mergeCell ref="AK18:AN18"/>
    <mergeCell ref="AK19:AN20"/>
    <mergeCell ref="AK22:AL22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G19:L20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409:E410"/>
    <mergeCell ref="A411:E412"/>
    <mergeCell ref="A413:E414"/>
    <mergeCell ref="A229:E230"/>
    <mergeCell ref="A231:E232"/>
    <mergeCell ref="A233:E234"/>
    <mergeCell ref="A235:E236"/>
    <mergeCell ref="A237:E238"/>
    <mergeCell ref="A239:E240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N149:AN150"/>
    <mergeCell ref="AM133:AM134"/>
    <mergeCell ref="AN133:AN134"/>
    <mergeCell ref="AM135:AM136"/>
    <mergeCell ref="AN135:AN136"/>
    <mergeCell ref="AM137:AM138"/>
    <mergeCell ref="AN137:AN138"/>
    <mergeCell ref="AN159:AN160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M173:AM174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M177:AM178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451:V451"/>
    <mergeCell ref="W451:AG451"/>
    <mergeCell ref="AM451:AN451"/>
    <mergeCell ref="AN173:AN174"/>
    <mergeCell ref="AM163:AM164"/>
    <mergeCell ref="AN163:AN164"/>
    <mergeCell ref="AM165:AM166"/>
    <mergeCell ref="AN165:AN166"/>
    <mergeCell ref="AM179:AM180"/>
    <mergeCell ref="AN179:AN180"/>
  </mergeCells>
  <dataValidations count="3">
    <dataValidation type="list" allowBlank="1" showInputMessage="1" showErrorMessage="1" sqref="Z23">
      <formula1>$AR$1:$AR$98</formula1>
    </dataValidation>
    <dataValidation type="list" allowBlank="1" showInputMessage="1" showErrorMessage="1" sqref="O23 W23 M23">
      <formula1>список</formula1>
    </dataValidation>
    <dataValidation type="list" allowBlank="1" showInputMessage="1" showErrorMessage="1" sqref="G23">
      <formula1>список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556" man="1"/>
    <brk id="40" max="1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V712"/>
  <sheetViews>
    <sheetView workbookViewId="0" topLeftCell="A1">
      <pane ySplit="3495" topLeftCell="A264" activePane="bottomLeft" state="split"/>
      <selection pane="topLeft" activeCell="CH1" sqref="CH1"/>
      <selection pane="bottomLeft" activeCell="A267" sqref="A267:IV267"/>
    </sheetView>
  </sheetViews>
  <sheetFormatPr defaultColWidth="9.140625" defaultRowHeight="12.75"/>
  <cols>
    <col min="1" max="1" width="4.00390625" style="0" bestFit="1" customWidth="1"/>
    <col min="2" max="2" width="90.140625" style="0" bestFit="1" customWidth="1"/>
    <col min="3" max="3" width="42.421875" style="0" bestFit="1" customWidth="1"/>
    <col min="4" max="4" width="13.00390625" style="0" bestFit="1" customWidth="1"/>
    <col min="5" max="5" width="9.8515625" style="0" bestFit="1" customWidth="1"/>
    <col min="6" max="6" width="16.28125" style="0" bestFit="1" customWidth="1"/>
    <col min="7" max="7" width="18.28125" style="0" bestFit="1" customWidth="1"/>
    <col min="8" max="8" width="11.28125" style="0" bestFit="1" customWidth="1"/>
    <col min="9" max="9" width="44.57421875" style="0" bestFit="1" customWidth="1"/>
    <col min="10" max="10" width="20.421875" style="0" bestFit="1" customWidth="1"/>
    <col min="11" max="11" width="50.421875" style="0" bestFit="1" customWidth="1"/>
    <col min="12" max="12" width="13.140625" style="0" bestFit="1" customWidth="1"/>
    <col min="13" max="13" width="12.28125" style="0" bestFit="1" customWidth="1"/>
    <col min="14" max="14" width="27.00390625" style="0" bestFit="1" customWidth="1"/>
    <col min="15" max="15" width="28.57421875" style="0" bestFit="1" customWidth="1"/>
    <col min="16" max="16" width="16.57421875" style="0" bestFit="1" customWidth="1"/>
    <col min="17" max="17" width="17.57421875" style="0" bestFit="1" customWidth="1"/>
    <col min="18" max="18" width="20.7109375" style="0" bestFit="1" customWidth="1"/>
    <col min="19" max="19" width="36.140625" style="0" bestFit="1" customWidth="1"/>
    <col min="20" max="20" width="36.57421875" style="0" bestFit="1" customWidth="1"/>
    <col min="21" max="21" width="8.421875" style="0" bestFit="1" customWidth="1"/>
    <col min="22" max="22" width="10.28125" style="0" bestFit="1" customWidth="1"/>
    <col min="23" max="23" width="14.00390625" style="0" bestFit="1" customWidth="1"/>
    <col min="24" max="24" width="12.8515625" style="0" bestFit="1" customWidth="1"/>
    <col min="25" max="25" width="23.140625" style="0" bestFit="1" customWidth="1"/>
    <col min="26" max="26" width="18.8515625" style="0" bestFit="1" customWidth="1"/>
    <col min="27" max="27" width="24.00390625" style="0" bestFit="1" customWidth="1"/>
    <col min="28" max="28" width="10.57421875" style="0" bestFit="1" customWidth="1"/>
    <col min="29" max="29" width="9.00390625" style="0" bestFit="1" customWidth="1"/>
    <col min="30" max="30" width="15.00390625" style="0" bestFit="1" customWidth="1"/>
    <col min="31" max="31" width="27.140625" style="0" bestFit="1" customWidth="1"/>
    <col min="32" max="32" width="9.28125" style="0" bestFit="1" customWidth="1"/>
    <col min="33" max="33" width="20.57421875" style="0" bestFit="1" customWidth="1"/>
    <col min="34" max="34" width="22.421875" style="0" bestFit="1" customWidth="1"/>
    <col min="35" max="35" width="37.421875" style="0" bestFit="1" customWidth="1"/>
    <col min="36" max="36" width="21.28125" style="0" bestFit="1" customWidth="1"/>
    <col min="37" max="37" width="10.421875" style="0" bestFit="1" customWidth="1"/>
    <col min="38" max="38" width="21.7109375" style="0" bestFit="1" customWidth="1"/>
    <col min="39" max="39" width="30.8515625" style="0" bestFit="1" customWidth="1"/>
    <col min="40" max="40" width="14.28125" style="0" bestFit="1" customWidth="1"/>
    <col min="41" max="41" width="21.28125" style="0" bestFit="1" customWidth="1"/>
    <col min="42" max="42" width="23.421875" style="0" bestFit="1" customWidth="1"/>
    <col min="43" max="43" width="11.28125" style="0" bestFit="1" customWidth="1"/>
    <col min="44" max="44" width="14.140625" style="0" bestFit="1" customWidth="1"/>
    <col min="45" max="45" width="22.140625" style="0" bestFit="1" customWidth="1"/>
    <col min="46" max="47" width="11.57421875" style="0" bestFit="1" customWidth="1"/>
    <col min="48" max="48" width="25.140625" style="0" bestFit="1" customWidth="1"/>
    <col min="49" max="49" width="29.57421875" style="0" bestFit="1" customWidth="1"/>
    <col min="50" max="50" width="26.00390625" style="0" bestFit="1" customWidth="1"/>
    <col min="51" max="51" width="22.28125" style="0" bestFit="1" customWidth="1"/>
    <col min="52" max="52" width="9.28125" style="0" bestFit="1" customWidth="1"/>
    <col min="53" max="53" width="19.8515625" style="0" bestFit="1" customWidth="1"/>
    <col min="54" max="54" width="39.140625" style="0" bestFit="1" customWidth="1"/>
    <col min="55" max="55" width="26.00390625" style="0" bestFit="1" customWidth="1"/>
    <col min="56" max="56" width="27.8515625" style="0" bestFit="1" customWidth="1"/>
    <col min="57" max="57" width="10.421875" style="0" bestFit="1" customWidth="1"/>
    <col min="58" max="58" width="18.28125" style="0" bestFit="1" customWidth="1"/>
    <col min="59" max="59" width="32.00390625" style="0" bestFit="1" customWidth="1"/>
    <col min="60" max="61" width="10.7109375" style="0" bestFit="1" customWidth="1"/>
    <col min="62" max="62" width="9.00390625" style="0" bestFit="1" customWidth="1"/>
    <col min="63" max="63" width="12.00390625" style="0" bestFit="1" customWidth="1"/>
    <col min="64" max="64" width="22.00390625" style="0" bestFit="1" customWidth="1"/>
    <col min="65" max="65" width="12.421875" style="0" bestFit="1" customWidth="1"/>
    <col min="66" max="66" width="25.421875" style="0" bestFit="1" customWidth="1"/>
    <col min="67" max="67" width="9.00390625" style="0" bestFit="1" customWidth="1"/>
    <col min="68" max="68" width="10.7109375" style="0" bestFit="1" customWidth="1"/>
    <col min="69" max="69" width="26.421875" style="0" bestFit="1" customWidth="1"/>
    <col min="70" max="70" width="41.8515625" style="0" bestFit="1" customWidth="1"/>
    <col min="71" max="71" width="9.57421875" style="0" bestFit="1" customWidth="1"/>
    <col min="72" max="72" width="28.57421875" style="0" bestFit="1" customWidth="1"/>
    <col min="73" max="73" width="21.28125" style="0" bestFit="1" customWidth="1"/>
    <col min="74" max="74" width="20.57421875" style="0" bestFit="1" customWidth="1"/>
    <col min="75" max="75" width="16.00390625" style="0" bestFit="1" customWidth="1"/>
    <col min="76" max="76" width="15.8515625" style="0" bestFit="1" customWidth="1"/>
    <col min="77" max="77" width="35.28125" style="0" bestFit="1" customWidth="1"/>
    <col min="78" max="78" width="16.8515625" style="0" bestFit="1" customWidth="1"/>
    <col min="79" max="79" width="12.421875" style="0" bestFit="1" customWidth="1"/>
    <col min="80" max="80" width="19.7109375" style="0" bestFit="1" customWidth="1"/>
    <col min="81" max="81" width="41.7109375" style="0" bestFit="1" customWidth="1"/>
    <col min="82" max="82" width="28.57421875" style="0" bestFit="1" customWidth="1"/>
    <col min="83" max="83" width="36.7109375" style="0" bestFit="1" customWidth="1"/>
    <col min="84" max="84" width="23.57421875" style="0" bestFit="1" customWidth="1"/>
    <col min="85" max="85" width="36.7109375" style="0" bestFit="1" customWidth="1"/>
    <col min="86" max="86" width="24.421875" style="0" bestFit="1" customWidth="1"/>
    <col min="87" max="87" width="10.57421875" style="0" bestFit="1" customWidth="1"/>
    <col min="88" max="88" width="10.28125" style="0" bestFit="1" customWidth="1"/>
    <col min="89" max="89" width="22.421875" style="0" bestFit="1" customWidth="1"/>
    <col min="90" max="90" width="15.7109375" style="0" bestFit="1" customWidth="1"/>
    <col min="91" max="91" width="40.57421875" style="0" bestFit="1" customWidth="1"/>
    <col min="92" max="92" width="25.57421875" style="0" bestFit="1" customWidth="1"/>
    <col min="93" max="93" width="11.57421875" style="0" bestFit="1" customWidth="1"/>
    <col min="94" max="94" width="18.28125" style="0" bestFit="1" customWidth="1"/>
    <col min="95" max="95" width="19.421875" style="0" bestFit="1" customWidth="1"/>
    <col min="96" max="96" width="23.28125" style="0" bestFit="1" customWidth="1"/>
    <col min="97" max="97" width="38.57421875" style="0" bestFit="1" customWidth="1"/>
    <col min="98" max="98" width="36.28125" style="0" bestFit="1" customWidth="1"/>
    <col min="99" max="99" width="12.140625" style="0" bestFit="1" customWidth="1"/>
    <col min="100" max="100" width="16.28125" style="0" bestFit="1" customWidth="1"/>
    <col min="101" max="101" width="23.140625" style="0" bestFit="1" customWidth="1"/>
    <col min="102" max="102" width="20.7109375" style="0" bestFit="1" customWidth="1"/>
    <col min="103" max="103" width="25.57421875" style="0" bestFit="1" customWidth="1"/>
    <col min="104" max="104" width="21.28125" style="0" bestFit="1" customWidth="1"/>
    <col min="105" max="105" width="35.57421875" style="0" bestFit="1" customWidth="1"/>
    <col min="106" max="106" width="20.00390625" style="0" bestFit="1" customWidth="1"/>
    <col min="107" max="107" width="33.421875" style="0" bestFit="1" customWidth="1"/>
    <col min="108" max="108" width="13.57421875" style="0" bestFit="1" customWidth="1"/>
    <col min="109" max="109" width="19.7109375" style="0" bestFit="1" customWidth="1"/>
    <col min="110" max="110" width="14.421875" style="0" bestFit="1" customWidth="1"/>
    <col min="111" max="111" width="23.421875" style="0" bestFit="1" customWidth="1"/>
    <col min="112" max="112" width="16.7109375" style="0" bestFit="1" customWidth="1"/>
    <col min="113" max="113" width="18.57421875" style="0" bestFit="1" customWidth="1"/>
    <col min="114" max="114" width="24.00390625" style="0" bestFit="1" customWidth="1"/>
    <col min="115" max="115" width="20.140625" style="0" bestFit="1" customWidth="1"/>
    <col min="116" max="116" width="10.421875" style="0" bestFit="1" customWidth="1"/>
    <col min="117" max="117" width="21.8515625" style="0" bestFit="1" customWidth="1"/>
    <col min="118" max="118" width="10.140625" style="0" bestFit="1" customWidth="1"/>
    <col min="119" max="119" width="17.140625" style="0" bestFit="1" customWidth="1"/>
    <col min="120" max="120" width="26.140625" style="0" bestFit="1" customWidth="1"/>
    <col min="121" max="121" width="11.28125" style="0" bestFit="1" customWidth="1"/>
    <col min="122" max="122" width="24.57421875" style="0" bestFit="1" customWidth="1"/>
    <col min="123" max="123" width="10.00390625" style="0" bestFit="1" customWidth="1"/>
    <col min="124" max="124" width="24.421875" style="0" bestFit="1" customWidth="1"/>
    <col min="125" max="125" width="11.57421875" style="0" bestFit="1" customWidth="1"/>
    <col min="126" max="126" width="6.140625" style="0" bestFit="1" customWidth="1"/>
    <col min="127" max="127" width="24.28125" style="0" bestFit="1" customWidth="1"/>
    <col min="128" max="128" width="29.7109375" style="0" bestFit="1" customWidth="1"/>
    <col min="129" max="129" width="12.00390625" style="0" customWidth="1"/>
    <col min="130" max="130" width="15.7109375" style="0" customWidth="1"/>
    <col min="131" max="131" width="17.28125" style="0" customWidth="1"/>
    <col min="132" max="132" width="15.00390625" style="0" customWidth="1"/>
    <col min="133" max="133" width="14.00390625" style="0" customWidth="1"/>
    <col min="135" max="135" width="14.7109375" style="0" customWidth="1"/>
    <col min="137" max="137" width="21.00390625" style="0" customWidth="1"/>
    <col min="138" max="138" width="11.421875" style="0" customWidth="1"/>
    <col min="139" max="139" width="10.00390625" style="0" customWidth="1"/>
    <col min="140" max="140" width="13.00390625" style="0" customWidth="1"/>
    <col min="141" max="141" width="13.28125" style="0" customWidth="1"/>
    <col min="142" max="142" width="12.421875" style="0" customWidth="1"/>
  </cols>
  <sheetData>
    <row r="1" spans="2:143" ht="21" customHeight="1">
      <c r="B1" s="54"/>
      <c r="C1" s="54" t="s">
        <v>7</v>
      </c>
      <c r="D1" s="54" t="s">
        <v>6</v>
      </c>
      <c r="E1" s="54" t="s">
        <v>8</v>
      </c>
      <c r="F1" s="54" t="s">
        <v>154</v>
      </c>
      <c r="G1" s="54" t="s">
        <v>147</v>
      </c>
      <c r="H1" s="54" t="s">
        <v>143</v>
      </c>
      <c r="I1" s="54" t="s">
        <v>10</v>
      </c>
      <c r="J1" s="54" t="s">
        <v>149</v>
      </c>
      <c r="K1" s="54" t="s">
        <v>51</v>
      </c>
      <c r="L1" s="54" t="s">
        <v>152</v>
      </c>
      <c r="M1" s="54" t="s">
        <v>148</v>
      </c>
      <c r="N1" s="54" t="s">
        <v>13</v>
      </c>
      <c r="O1" s="54" t="s">
        <v>14</v>
      </c>
      <c r="P1" s="54" t="s">
        <v>153</v>
      </c>
      <c r="Q1" s="54" t="s">
        <v>52</v>
      </c>
      <c r="R1" s="54" t="s">
        <v>17</v>
      </c>
      <c r="S1" s="54" t="s">
        <v>18</v>
      </c>
      <c r="T1" s="54" t="s">
        <v>19</v>
      </c>
      <c r="U1" s="54" t="s">
        <v>20</v>
      </c>
      <c r="V1" s="54" t="s">
        <v>126</v>
      </c>
      <c r="W1" s="54" t="s">
        <v>60</v>
      </c>
      <c r="X1" s="54" t="s">
        <v>21</v>
      </c>
      <c r="Y1" s="54" t="s">
        <v>22</v>
      </c>
      <c r="Z1" s="54" t="s">
        <v>23</v>
      </c>
      <c r="AA1" s="54" t="s">
        <v>27</v>
      </c>
      <c r="AB1" s="54" t="s">
        <v>53</v>
      </c>
      <c r="AC1" s="54" t="s">
        <v>26</v>
      </c>
      <c r="AD1" s="54" t="s">
        <v>25</v>
      </c>
      <c r="AE1" s="54" t="s">
        <v>115</v>
      </c>
      <c r="AF1" s="54" t="s">
        <v>0</v>
      </c>
      <c r="AG1" s="54" t="s">
        <v>141</v>
      </c>
      <c r="AH1" s="54" t="s">
        <v>28</v>
      </c>
      <c r="AI1" s="54" t="s">
        <v>128</v>
      </c>
      <c r="AJ1" s="54" t="s">
        <v>30</v>
      </c>
      <c r="AK1" s="54" t="s">
        <v>162</v>
      </c>
      <c r="AL1" s="54" t="s">
        <v>155</v>
      </c>
      <c r="AM1" s="54" t="s">
        <v>33</v>
      </c>
      <c r="AN1" s="54" t="s">
        <v>100</v>
      </c>
      <c r="AO1" s="54" t="s">
        <v>34</v>
      </c>
      <c r="AP1" s="54" t="s">
        <v>35</v>
      </c>
      <c r="AQ1" s="54" t="s">
        <v>36</v>
      </c>
      <c r="AR1" s="54" t="s">
        <v>37</v>
      </c>
      <c r="AS1" s="54" t="s">
        <v>117</v>
      </c>
      <c r="AT1" s="54" t="s">
        <v>38</v>
      </c>
      <c r="AU1" s="54" t="s">
        <v>39</v>
      </c>
      <c r="AV1" s="54" t="s">
        <v>116</v>
      </c>
      <c r="AW1" s="54" t="s">
        <v>54</v>
      </c>
      <c r="AX1" s="54" t="s">
        <v>41</v>
      </c>
      <c r="AY1" s="54" t="s">
        <v>113</v>
      </c>
      <c r="AZ1" s="54" t="s">
        <v>40</v>
      </c>
      <c r="BA1" s="54" t="s">
        <v>495</v>
      </c>
      <c r="BB1" s="54" t="s">
        <v>418</v>
      </c>
      <c r="BC1" s="54" t="s">
        <v>99</v>
      </c>
      <c r="BD1" s="54" t="s">
        <v>125</v>
      </c>
      <c r="BE1" s="54" t="s">
        <v>120</v>
      </c>
      <c r="BF1" s="54" t="s">
        <v>114</v>
      </c>
      <c r="BG1" s="54" t="s">
        <v>150</v>
      </c>
      <c r="BH1" s="54" t="s">
        <v>44</v>
      </c>
      <c r="BI1" s="54" t="s">
        <v>2</v>
      </c>
      <c r="BJ1" s="54" t="s">
        <v>46</v>
      </c>
      <c r="BK1" s="54" t="s">
        <v>47</v>
      </c>
      <c r="BL1" s="54" t="s">
        <v>48</v>
      </c>
      <c r="BM1" s="54" t="s">
        <v>49</v>
      </c>
      <c r="BN1" s="54" t="s">
        <v>50</v>
      </c>
      <c r="BO1" s="54" t="s">
        <v>151</v>
      </c>
      <c r="BP1" s="54" t="s">
        <v>55</v>
      </c>
      <c r="BQ1" s="54" t="s">
        <v>56</v>
      </c>
      <c r="BR1" s="54" t="s">
        <v>124</v>
      </c>
      <c r="BS1" s="54" t="s">
        <v>57</v>
      </c>
      <c r="BT1" s="54" t="s">
        <v>58</v>
      </c>
      <c r="BU1" s="54" t="s">
        <v>62</v>
      </c>
      <c r="BV1" s="54" t="s">
        <v>59</v>
      </c>
      <c r="BW1" s="54" t="s">
        <v>61</v>
      </c>
      <c r="BX1" s="54" t="s">
        <v>121</v>
      </c>
      <c r="BY1" s="54" t="s">
        <v>156</v>
      </c>
      <c r="BZ1" s="54" t="s">
        <v>104</v>
      </c>
      <c r="CA1" s="54" t="s">
        <v>142</v>
      </c>
      <c r="CB1" s="54" t="s">
        <v>110</v>
      </c>
      <c r="CC1" s="54" t="s">
        <v>420</v>
      </c>
      <c r="CD1" s="54" t="s">
        <v>542</v>
      </c>
      <c r="CE1" s="54" t="s">
        <v>421</v>
      </c>
      <c r="CF1" s="54" t="s">
        <v>543</v>
      </c>
      <c r="CG1" s="54" t="s">
        <v>422</v>
      </c>
      <c r="CH1" s="54" t="s">
        <v>544</v>
      </c>
      <c r="CI1" s="54" t="s">
        <v>101</v>
      </c>
      <c r="CJ1" s="54" t="s">
        <v>163</v>
      </c>
      <c r="CK1" s="54" t="s">
        <v>164</v>
      </c>
      <c r="CL1" s="54" t="s">
        <v>166</v>
      </c>
      <c r="CM1" s="54" t="s">
        <v>167</v>
      </c>
      <c r="CN1" s="54" t="s">
        <v>174</v>
      </c>
      <c r="CO1" s="54" t="s">
        <v>176</v>
      </c>
      <c r="CP1" s="54" t="s">
        <v>178</v>
      </c>
      <c r="CQ1" s="54" t="s">
        <v>181</v>
      </c>
      <c r="CR1" s="54" t="s">
        <v>183</v>
      </c>
      <c r="CS1" s="54" t="s">
        <v>187</v>
      </c>
      <c r="CT1" s="54" t="s">
        <v>189</v>
      </c>
      <c r="CU1" s="54" t="s">
        <v>191</v>
      </c>
      <c r="CV1" s="54" t="s">
        <v>200</v>
      </c>
      <c r="CW1" s="54" t="s">
        <v>204</v>
      </c>
      <c r="CX1" s="54" t="s">
        <v>205</v>
      </c>
      <c r="CY1" s="54" t="s">
        <v>207</v>
      </c>
      <c r="CZ1" s="54" t="s">
        <v>209</v>
      </c>
      <c r="DA1" s="54" t="s">
        <v>210</v>
      </c>
      <c r="DB1" s="54" t="s">
        <v>214</v>
      </c>
      <c r="DC1" s="54" t="s">
        <v>218</v>
      </c>
      <c r="DD1" s="54" t="s">
        <v>220</v>
      </c>
      <c r="DE1" s="54" t="s">
        <v>494</v>
      </c>
      <c r="DF1" s="54" t="s">
        <v>222</v>
      </c>
      <c r="DG1" s="54" t="s">
        <v>223</v>
      </c>
      <c r="DH1" s="54" t="s">
        <v>227</v>
      </c>
      <c r="DI1" s="54" t="s">
        <v>228</v>
      </c>
      <c r="DJ1" s="54" t="s">
        <v>235</v>
      </c>
      <c r="DK1" s="54" t="s">
        <v>236</v>
      </c>
      <c r="DL1" s="54" t="s">
        <v>243</v>
      </c>
      <c r="DM1" s="54" t="s">
        <v>245</v>
      </c>
      <c r="DN1" s="54" t="s">
        <v>247</v>
      </c>
      <c r="DO1" s="54" t="s">
        <v>250</v>
      </c>
      <c r="DP1" s="54" t="s">
        <v>257</v>
      </c>
      <c r="DQ1" s="54" t="s">
        <v>260</v>
      </c>
      <c r="DR1" s="54" t="s">
        <v>261</v>
      </c>
      <c r="DS1" s="54" t="s">
        <v>263</v>
      </c>
      <c r="DT1" s="54" t="s">
        <v>277</v>
      </c>
      <c r="DU1" s="54" t="s">
        <v>265</v>
      </c>
      <c r="DV1" s="54" t="s">
        <v>301</v>
      </c>
      <c r="DW1" s="54" t="s">
        <v>305</v>
      </c>
      <c r="DX1" s="54" t="s">
        <v>309</v>
      </c>
      <c r="DY1" s="54" t="s">
        <v>526</v>
      </c>
      <c r="DZ1" t="s">
        <v>529</v>
      </c>
      <c r="EA1" t="s">
        <v>119</v>
      </c>
      <c r="EB1" t="s">
        <v>528</v>
      </c>
      <c r="EC1" t="s">
        <v>527</v>
      </c>
      <c r="ED1" t="s">
        <v>530</v>
      </c>
      <c r="EE1" t="s">
        <v>531</v>
      </c>
      <c r="EF1" t="s">
        <v>123</v>
      </c>
      <c r="EG1" t="s">
        <v>532</v>
      </c>
      <c r="EH1" t="s">
        <v>533</v>
      </c>
      <c r="EI1" t="s">
        <v>109</v>
      </c>
      <c r="EJ1" t="s">
        <v>534</v>
      </c>
      <c r="EK1" t="s">
        <v>535</v>
      </c>
      <c r="EL1" t="s">
        <v>537</v>
      </c>
      <c r="EM1" t="s">
        <v>122</v>
      </c>
    </row>
    <row r="2" spans="1:178" ht="20.25" customHeight="1">
      <c r="A2">
        <v>221</v>
      </c>
      <c r="B2" s="54" t="s">
        <v>166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>
        <v>75</v>
      </c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>
        <v>11.8</v>
      </c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</row>
    <row r="3" spans="1:178" ht="20.25">
      <c r="A3">
        <v>220</v>
      </c>
      <c r="B3" s="54" t="s">
        <v>290</v>
      </c>
      <c r="C3" s="54"/>
      <c r="D3" s="54"/>
      <c r="E3" s="54"/>
      <c r="F3" s="54"/>
      <c r="G3" s="54"/>
      <c r="H3" s="54"/>
      <c r="I3" s="54"/>
      <c r="J3" s="54">
        <v>125.3</v>
      </c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>
        <v>75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</row>
    <row r="4" spans="1:178" ht="20.25">
      <c r="A4">
        <v>173</v>
      </c>
      <c r="B4" s="54" t="s">
        <v>237</v>
      </c>
      <c r="C4" s="54"/>
      <c r="D4" s="54"/>
      <c r="E4" s="54"/>
      <c r="F4" s="54"/>
      <c r="G4" s="54"/>
      <c r="H4" s="54"/>
      <c r="I4" s="54"/>
      <c r="J4" s="54"/>
      <c r="K4" s="54">
        <v>3</v>
      </c>
      <c r="L4" s="54"/>
      <c r="M4" s="54"/>
      <c r="N4" s="54"/>
      <c r="O4" s="54">
        <v>48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>
        <v>41</v>
      </c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>
        <v>120</v>
      </c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</row>
    <row r="5" spans="1:178" ht="20.25">
      <c r="A5">
        <v>255</v>
      </c>
      <c r="B5" s="54" t="s">
        <v>409</v>
      </c>
      <c r="C5" s="54">
        <v>70.4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>
        <v>21</v>
      </c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>
        <v>1.7</v>
      </c>
      <c r="AU5" s="54">
        <v>9.5</v>
      </c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>
        <v>70</v>
      </c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</row>
    <row r="6" spans="1:178" ht="20.25">
      <c r="A6">
        <v>74</v>
      </c>
      <c r="B6" s="55" t="s">
        <v>362</v>
      </c>
      <c r="C6" s="55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>
        <v>25</v>
      </c>
      <c r="S6" s="54"/>
      <c r="T6" s="54"/>
      <c r="U6" s="54"/>
      <c r="V6" s="54"/>
      <c r="W6" s="54">
        <v>2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>
        <v>1.9</v>
      </c>
      <c r="AU6" s="54">
        <v>11.3</v>
      </c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>
        <v>75</v>
      </c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</row>
    <row r="7" spans="1:178" ht="20.25">
      <c r="A7">
        <v>195</v>
      </c>
      <c r="B7" s="54" t="s">
        <v>266</v>
      </c>
      <c r="C7" s="54"/>
      <c r="D7" s="54"/>
      <c r="E7" s="54"/>
      <c r="F7" s="54"/>
      <c r="G7" s="54"/>
      <c r="H7" s="54"/>
      <c r="I7" s="54"/>
      <c r="J7" s="54">
        <v>60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>
        <v>0.8</v>
      </c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>
        <v>4</v>
      </c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>
        <v>2</v>
      </c>
      <c r="BI7" s="54"/>
      <c r="BJ7" s="54"/>
      <c r="BK7" s="54"/>
      <c r="BL7" s="54"/>
      <c r="BM7" s="54"/>
      <c r="BN7" s="54"/>
      <c r="BO7" s="54"/>
      <c r="BP7" s="54">
        <v>80</v>
      </c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>
        <v>4.4</v>
      </c>
      <c r="DR7" s="54">
        <v>13.6</v>
      </c>
      <c r="DS7" s="54"/>
      <c r="DT7" s="54">
        <v>13.6</v>
      </c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</row>
    <row r="8" spans="1:178" ht="20.25">
      <c r="A8">
        <v>62</v>
      </c>
      <c r="B8" s="55" t="s">
        <v>353</v>
      </c>
      <c r="C8" s="55"/>
      <c r="D8" s="54"/>
      <c r="E8" s="54">
        <v>20.2</v>
      </c>
      <c r="F8" s="54"/>
      <c r="G8" s="54"/>
      <c r="H8" s="54"/>
      <c r="I8" s="54"/>
      <c r="J8" s="54"/>
      <c r="K8" s="54">
        <v>3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>
        <v>35.6</v>
      </c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>
        <v>49.8</v>
      </c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>
        <v>150</v>
      </c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</row>
    <row r="9" spans="1:178" ht="20.25">
      <c r="A9">
        <v>227</v>
      </c>
      <c r="B9" s="54" t="s">
        <v>296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>
        <v>85</v>
      </c>
      <c r="P9" s="54"/>
      <c r="Q9" s="54"/>
      <c r="R9" s="54"/>
      <c r="S9" s="54"/>
      <c r="T9" s="54"/>
      <c r="U9" s="54"/>
      <c r="V9" s="54"/>
      <c r="W9" s="54"/>
      <c r="X9" s="54">
        <v>10</v>
      </c>
      <c r="Y9" s="54"/>
      <c r="Z9" s="54"/>
      <c r="AA9" s="54"/>
      <c r="AB9" s="54"/>
      <c r="AC9" s="54"/>
      <c r="AD9" s="54"/>
      <c r="AE9" s="54"/>
      <c r="AF9" s="54"/>
      <c r="AG9" s="54"/>
      <c r="AH9" s="54">
        <v>5</v>
      </c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>
        <v>0.4</v>
      </c>
      <c r="BN9" s="54"/>
      <c r="BO9" s="54"/>
      <c r="BP9" s="54">
        <v>100</v>
      </c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</row>
    <row r="10" spans="1:178" ht="20.25">
      <c r="A10">
        <v>84</v>
      </c>
      <c r="B10" s="55" t="s">
        <v>371</v>
      </c>
      <c r="C10" s="55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>
        <v>63.8</v>
      </c>
      <c r="P10" s="54"/>
      <c r="Q10" s="54"/>
      <c r="R10" s="54"/>
      <c r="S10" s="54"/>
      <c r="T10" s="54"/>
      <c r="U10" s="54"/>
      <c r="V10" s="54"/>
      <c r="W10" s="54"/>
      <c r="X10" s="54">
        <v>7.5</v>
      </c>
      <c r="Y10" s="54"/>
      <c r="Z10" s="54"/>
      <c r="AA10" s="54"/>
      <c r="AB10" s="54"/>
      <c r="AC10" s="54"/>
      <c r="AD10" s="54"/>
      <c r="AE10" s="54"/>
      <c r="AF10" s="54"/>
      <c r="AG10" s="54"/>
      <c r="AH10" s="54">
        <v>6.4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>
        <v>75</v>
      </c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</row>
    <row r="11" spans="1:178" ht="20.25">
      <c r="A11">
        <v>53</v>
      </c>
      <c r="B11" s="55" t="s">
        <v>346</v>
      </c>
      <c r="C11" s="55"/>
      <c r="D11" s="54"/>
      <c r="E11" s="54"/>
      <c r="F11" s="54"/>
      <c r="G11" s="54"/>
      <c r="H11" s="54"/>
      <c r="I11" s="54"/>
      <c r="J11" s="54"/>
      <c r="K11" s="54">
        <v>0.85</v>
      </c>
      <c r="L11" s="54"/>
      <c r="M11" s="54"/>
      <c r="N11" s="54">
        <v>3.8</v>
      </c>
      <c r="O11" s="54">
        <v>47</v>
      </c>
      <c r="P11" s="54"/>
      <c r="Q11" s="54"/>
      <c r="R11" s="54"/>
      <c r="S11" s="54"/>
      <c r="T11" s="54"/>
      <c r="U11" s="54"/>
      <c r="V11" s="54"/>
      <c r="W11" s="54">
        <v>206</v>
      </c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>
        <v>9.9</v>
      </c>
      <c r="AU11" s="54"/>
      <c r="AV11" s="54"/>
      <c r="AW11" s="54"/>
      <c r="AX11" s="54">
        <v>13.2</v>
      </c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>
        <v>150</v>
      </c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</row>
    <row r="12" spans="1:178" ht="20.25">
      <c r="A12">
        <v>251</v>
      </c>
      <c r="B12" s="54" t="s">
        <v>406</v>
      </c>
      <c r="C12" s="54">
        <v>60.3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>
        <v>2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>
        <v>3.3</v>
      </c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>
        <v>25</v>
      </c>
      <c r="AU12" s="54"/>
      <c r="AV12" s="54"/>
      <c r="AW12" s="54"/>
      <c r="AX12" s="54">
        <v>10</v>
      </c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>
        <v>100</v>
      </c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>
        <v>2.3</v>
      </c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</row>
    <row r="13" spans="1:178" ht="20.25">
      <c r="A13">
        <v>32</v>
      </c>
      <c r="B13" s="55" t="s">
        <v>144</v>
      </c>
      <c r="C13" s="55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>
        <v>1.5</v>
      </c>
      <c r="AI13" s="54"/>
      <c r="AJ13" s="54"/>
      <c r="AK13" s="54"/>
      <c r="AL13" s="54"/>
      <c r="AM13" s="54"/>
      <c r="AN13" s="54"/>
      <c r="AO13" s="54"/>
      <c r="AP13" s="54"/>
      <c r="AQ13" s="54"/>
      <c r="AR13" s="54">
        <v>68.7</v>
      </c>
      <c r="AS13" s="54"/>
      <c r="AT13" s="54">
        <v>12</v>
      </c>
      <c r="AU13" s="54">
        <v>12.8</v>
      </c>
      <c r="AV13" s="54"/>
      <c r="AW13" s="54"/>
      <c r="AX13" s="54">
        <v>11.5</v>
      </c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>
        <v>250</v>
      </c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</row>
    <row r="14" spans="1:178" ht="20.25">
      <c r="A14">
        <v>165</v>
      </c>
      <c r="B14" s="54" t="s">
        <v>144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>
        <v>5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>
        <v>1.5</v>
      </c>
      <c r="AI14" s="54"/>
      <c r="AJ14" s="54"/>
      <c r="AK14" s="54"/>
      <c r="AL14" s="54"/>
      <c r="AM14" s="54"/>
      <c r="AN14" s="54"/>
      <c r="AO14" s="54"/>
      <c r="AP14" s="54"/>
      <c r="AQ14" s="54"/>
      <c r="AR14" s="54">
        <v>89.5</v>
      </c>
      <c r="AS14" s="54"/>
      <c r="AT14" s="54">
        <v>12</v>
      </c>
      <c r="AU14" s="54">
        <v>13.5</v>
      </c>
      <c r="AV14" s="54"/>
      <c r="AW14" s="54"/>
      <c r="AX14" s="54">
        <v>7.5</v>
      </c>
      <c r="AY14" s="54"/>
      <c r="AZ14" s="54">
        <v>53.5</v>
      </c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>
        <v>250</v>
      </c>
      <c r="BQ14" s="54"/>
      <c r="BR14" s="54"/>
      <c r="BS14" s="54"/>
      <c r="BT14" s="54"/>
      <c r="BU14" s="54"/>
      <c r="BV14" s="54"/>
      <c r="BW14" s="54"/>
      <c r="BX14" s="54">
        <v>5</v>
      </c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>
        <v>0.3</v>
      </c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</row>
    <row r="15" spans="1:178" ht="20.25">
      <c r="A15" s="97">
        <v>179</v>
      </c>
      <c r="B15" s="54" t="s">
        <v>243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>
        <v>3.6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>
        <v>120</v>
      </c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>
        <v>48</v>
      </c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</row>
    <row r="16" spans="1:178" ht="20.25">
      <c r="A16">
        <v>194</v>
      </c>
      <c r="B16" s="54" t="s">
        <v>264</v>
      </c>
      <c r="C16" s="54"/>
      <c r="D16" s="54"/>
      <c r="E16" s="54"/>
      <c r="F16" s="54"/>
      <c r="G16" s="54"/>
      <c r="H16" s="54"/>
      <c r="I16" s="54"/>
      <c r="J16" s="54"/>
      <c r="K16" s="54">
        <v>2.4</v>
      </c>
      <c r="L16" s="54"/>
      <c r="M16" s="54"/>
      <c r="N16" s="54">
        <v>3.2</v>
      </c>
      <c r="O16" s="54"/>
      <c r="P16" s="54"/>
      <c r="Q16" s="54"/>
      <c r="R16" s="54"/>
      <c r="S16" s="54"/>
      <c r="T16" s="54"/>
      <c r="U16" s="54">
        <v>0.3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>
        <v>4</v>
      </c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>
        <v>1</v>
      </c>
      <c r="BL16" s="54"/>
      <c r="BM16" s="54"/>
      <c r="BN16" s="54"/>
      <c r="BO16" s="54"/>
      <c r="BP16" s="54">
        <v>80</v>
      </c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>
        <v>2.4</v>
      </c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>
        <v>4.8</v>
      </c>
      <c r="DR16" s="54">
        <v>12.8</v>
      </c>
      <c r="DS16" s="54"/>
      <c r="DT16" s="54">
        <v>9.6</v>
      </c>
      <c r="DU16" s="54">
        <v>3.2</v>
      </c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</row>
    <row r="17" spans="1:178" ht="20.25">
      <c r="A17">
        <v>167</v>
      </c>
      <c r="B17" s="54" t="s">
        <v>230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>
        <v>17</v>
      </c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>
        <v>6</v>
      </c>
      <c r="AU17" s="54">
        <v>18.5</v>
      </c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>
        <v>250</v>
      </c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>
        <v>3.8</v>
      </c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</row>
    <row r="18" spans="1:178" ht="20.25">
      <c r="A18">
        <v>5</v>
      </c>
      <c r="B18" s="55" t="s">
        <v>130</v>
      </c>
      <c r="C18" s="54">
        <v>58.3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>
        <v>20</v>
      </c>
      <c r="P18" s="54"/>
      <c r="Q18" s="54"/>
      <c r="R18" s="54"/>
      <c r="S18" s="54"/>
      <c r="T18" s="54"/>
      <c r="U18" s="54"/>
      <c r="V18" s="54"/>
      <c r="W18" s="54">
        <v>40</v>
      </c>
      <c r="X18" s="54">
        <v>0.09</v>
      </c>
      <c r="Y18" s="54"/>
      <c r="Z18" s="54"/>
      <c r="AA18" s="54"/>
      <c r="AB18" s="54"/>
      <c r="AC18" s="54"/>
      <c r="AD18" s="54"/>
      <c r="AE18" s="54"/>
      <c r="AF18" s="54"/>
      <c r="AG18" s="54"/>
      <c r="AH18" s="54">
        <v>0.2</v>
      </c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>
        <v>8</v>
      </c>
      <c r="AT18" s="54"/>
      <c r="AU18" s="54"/>
      <c r="AV18" s="54"/>
      <c r="AW18" s="54">
        <v>3</v>
      </c>
      <c r="AX18" s="54">
        <v>0.6</v>
      </c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>
        <v>0.5</v>
      </c>
      <c r="BL18" s="54"/>
      <c r="BM18" s="54"/>
      <c r="BN18" s="54"/>
      <c r="BO18" s="54"/>
      <c r="BP18" s="54" t="s">
        <v>514</v>
      </c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</row>
    <row r="19" spans="1:178" ht="20.25">
      <c r="A19">
        <v>47</v>
      </c>
      <c r="B19" s="55" t="s">
        <v>493</v>
      </c>
      <c r="C19" s="55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>
        <v>12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>
        <v>248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>
        <v>150</v>
      </c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</row>
    <row r="20" spans="1:178" ht="20.25">
      <c r="A20">
        <v>234</v>
      </c>
      <c r="B20" s="54" t="s">
        <v>303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>
        <v>83.7</v>
      </c>
      <c r="T20" s="54"/>
      <c r="U20" s="54">
        <v>0.1</v>
      </c>
      <c r="V20" s="54"/>
      <c r="W20" s="54">
        <v>11.5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>
        <v>5</v>
      </c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>
        <v>100</v>
      </c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</row>
    <row r="21" spans="1:178" ht="20.25">
      <c r="A21">
        <v>244</v>
      </c>
      <c r="B21" s="54" t="s">
        <v>316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>
        <v>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>
        <v>58</v>
      </c>
      <c r="AS21" s="54"/>
      <c r="AT21" s="54">
        <v>9.5</v>
      </c>
      <c r="AU21" s="54">
        <v>17.5</v>
      </c>
      <c r="AV21" s="54"/>
      <c r="AW21" s="54"/>
      <c r="AX21" s="54">
        <v>5</v>
      </c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>
        <v>100</v>
      </c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>
        <v>0.8</v>
      </c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>
        <v>0.3</v>
      </c>
      <c r="DA21" s="54">
        <v>0.3</v>
      </c>
      <c r="DB21" s="54"/>
      <c r="DC21" s="54"/>
      <c r="DD21" s="54"/>
      <c r="DE21" s="54"/>
      <c r="DF21" s="54">
        <v>18</v>
      </c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</row>
    <row r="22" spans="1:178" ht="20.25">
      <c r="A22">
        <v>259</v>
      </c>
      <c r="B22" s="54" t="s">
        <v>414</v>
      </c>
      <c r="C22" s="54">
        <v>70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>
        <v>12.5</v>
      </c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 t="s">
        <v>515</v>
      </c>
      <c r="BQ22" s="54"/>
      <c r="BR22" s="54"/>
      <c r="BS22" s="54"/>
      <c r="BT22" s="54">
        <v>15</v>
      </c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</row>
    <row r="23" spans="1:178" ht="20.25">
      <c r="A23">
        <v>249</v>
      </c>
      <c r="B23" s="54" t="s">
        <v>404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>
        <v>8</v>
      </c>
      <c r="O23" s="54"/>
      <c r="P23" s="54"/>
      <c r="Q23" s="54"/>
      <c r="R23" s="54"/>
      <c r="S23" s="54"/>
      <c r="T23" s="54"/>
      <c r="U23" s="54">
        <v>0.16</v>
      </c>
      <c r="V23" s="54"/>
      <c r="W23" s="54">
        <v>24</v>
      </c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>
        <v>4.8</v>
      </c>
      <c r="AI23" s="54"/>
      <c r="AJ23" s="54"/>
      <c r="AK23" s="54"/>
      <c r="AL23" s="54"/>
      <c r="AM23" s="54"/>
      <c r="AN23" s="54"/>
      <c r="AO23" s="54"/>
      <c r="AP23" s="54"/>
      <c r="AQ23" s="54">
        <v>42.6</v>
      </c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>
        <v>80</v>
      </c>
      <c r="BQ23" s="54"/>
      <c r="BR23" s="54"/>
      <c r="BS23" s="54">
        <v>0.8</v>
      </c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</row>
    <row r="24" spans="1:178" ht="20.25">
      <c r="A24">
        <v>182</v>
      </c>
      <c r="B24" s="54" t="s">
        <v>248</v>
      </c>
      <c r="C24" s="54"/>
      <c r="D24" s="54"/>
      <c r="E24" s="54"/>
      <c r="F24" s="54"/>
      <c r="G24" s="54"/>
      <c r="H24" s="54"/>
      <c r="I24" s="54"/>
      <c r="J24" s="54"/>
      <c r="K24" s="54">
        <v>3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>
        <v>156</v>
      </c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>
        <v>120</v>
      </c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>
        <v>3</v>
      </c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</row>
    <row r="25" spans="1:178" ht="20.25">
      <c r="A25">
        <v>132</v>
      </c>
      <c r="B25" s="55" t="s">
        <v>179</v>
      </c>
      <c r="C25" s="54"/>
      <c r="D25" s="54"/>
      <c r="E25" s="54"/>
      <c r="F25" s="54"/>
      <c r="G25" s="54"/>
      <c r="H25" s="54"/>
      <c r="I25" s="54"/>
      <c r="J25" s="54"/>
      <c r="K25" s="54"/>
      <c r="L25" s="54">
        <v>1.7</v>
      </c>
      <c r="M25" s="54"/>
      <c r="N25" s="54">
        <v>3.8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>
        <v>22.3</v>
      </c>
      <c r="AS25" s="54"/>
      <c r="AT25" s="54">
        <v>4.2</v>
      </c>
      <c r="AU25" s="54">
        <v>13.5</v>
      </c>
      <c r="AV25" s="54">
        <v>5</v>
      </c>
      <c r="AW25" s="54"/>
      <c r="AX25" s="54"/>
      <c r="AY25" s="54"/>
      <c r="AZ25" s="54">
        <v>15.5</v>
      </c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>
        <v>50</v>
      </c>
      <c r="BQ25" s="54"/>
      <c r="BR25" s="54">
        <v>5.5</v>
      </c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</row>
    <row r="26" spans="1:178" ht="20.25">
      <c r="A26">
        <v>189</v>
      </c>
      <c r="B26" s="54" t="s">
        <v>256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>
        <v>3.6</v>
      </c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>
        <v>54</v>
      </c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>
        <v>120</v>
      </c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>
        <v>0.5</v>
      </c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</row>
    <row r="27" spans="1:178" ht="20.25">
      <c r="A27">
        <v>188</v>
      </c>
      <c r="B27" s="54" t="s">
        <v>255</v>
      </c>
      <c r="C27" s="54"/>
      <c r="D27" s="54"/>
      <c r="E27" s="54"/>
      <c r="F27" s="54"/>
      <c r="G27" s="54"/>
      <c r="H27" s="54"/>
      <c r="I27" s="54"/>
      <c r="J27" s="54"/>
      <c r="K27" s="54">
        <v>3.6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>
        <v>36</v>
      </c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>
        <v>120</v>
      </c>
      <c r="BQ27" s="54"/>
      <c r="BR27" s="54"/>
      <c r="BS27" s="54"/>
      <c r="BT27" s="54"/>
      <c r="BU27" s="54"/>
      <c r="BV27" s="54"/>
      <c r="BW27" s="54"/>
      <c r="BX27" s="54">
        <v>3</v>
      </c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</row>
    <row r="28" spans="1:178" ht="20.25">
      <c r="A28">
        <v>180</v>
      </c>
      <c r="B28" s="54" t="s">
        <v>244</v>
      </c>
      <c r="C28" s="54"/>
      <c r="D28" s="54"/>
      <c r="E28" s="54"/>
      <c r="F28" s="54"/>
      <c r="G28" s="54"/>
      <c r="H28" s="54"/>
      <c r="I28" s="54"/>
      <c r="J28" s="54"/>
      <c r="K28" s="54">
        <v>3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>
        <v>57</v>
      </c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>
        <v>120</v>
      </c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>
        <v>0.3</v>
      </c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</row>
    <row r="29" spans="1:178" ht="20.25">
      <c r="A29">
        <v>177</v>
      </c>
      <c r="B29" s="54" t="s">
        <v>241</v>
      </c>
      <c r="C29" s="54"/>
      <c r="D29" s="54"/>
      <c r="E29" s="54"/>
      <c r="F29" s="54"/>
      <c r="G29" s="54"/>
      <c r="H29" s="54"/>
      <c r="I29" s="54"/>
      <c r="J29" s="54"/>
      <c r="K29" s="54">
        <v>2.4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>
        <v>50</v>
      </c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>
        <v>12</v>
      </c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>
        <v>120</v>
      </c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</row>
    <row r="30" spans="1:178" ht="20.25">
      <c r="A30">
        <v>256</v>
      </c>
      <c r="B30" s="54" t="s">
        <v>410</v>
      </c>
      <c r="C30" s="54">
        <v>70.4</v>
      </c>
      <c r="D30" s="54"/>
      <c r="E30" s="54"/>
      <c r="F30" s="54"/>
      <c r="G30" s="54"/>
      <c r="H30" s="54"/>
      <c r="I30" s="54"/>
      <c r="J30" s="54"/>
      <c r="K30" s="54">
        <v>1.4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>
        <v>1.4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>
        <v>10.2</v>
      </c>
      <c r="AU30" s="54">
        <v>11.2</v>
      </c>
      <c r="AV30" s="54"/>
      <c r="AW30" s="54"/>
      <c r="AX30" s="54"/>
      <c r="AY30" s="54">
        <v>7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>
        <v>70</v>
      </c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</row>
    <row r="31" spans="1:178" ht="20.25">
      <c r="A31">
        <v>75</v>
      </c>
      <c r="B31" s="55" t="s">
        <v>363</v>
      </c>
      <c r="C31" s="55"/>
      <c r="D31" s="54"/>
      <c r="E31" s="54"/>
      <c r="F31" s="54"/>
      <c r="G31" s="54"/>
      <c r="H31" s="54"/>
      <c r="I31" s="54"/>
      <c r="J31" s="54"/>
      <c r="K31" s="54">
        <v>5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>
        <v>2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>
        <v>50.7</v>
      </c>
      <c r="AU31" s="54">
        <v>53.7</v>
      </c>
      <c r="AV31" s="54"/>
      <c r="AW31" s="54"/>
      <c r="AX31" s="54"/>
      <c r="AY31" s="54">
        <v>12</v>
      </c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>
        <v>100</v>
      </c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</row>
    <row r="32" spans="1:178" ht="20.25">
      <c r="A32">
        <v>3</v>
      </c>
      <c r="B32" s="55" t="s">
        <v>485</v>
      </c>
      <c r="C32" s="54"/>
      <c r="D32" s="54"/>
      <c r="E32" s="54"/>
      <c r="F32" s="54"/>
      <c r="G32" s="54"/>
      <c r="H32" s="54"/>
      <c r="I32" s="54"/>
      <c r="J32" s="54"/>
      <c r="K32" s="54">
        <v>4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24.3</v>
      </c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>
        <v>32</v>
      </c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>
        <v>60</v>
      </c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</row>
    <row r="33" spans="1:178" ht="20.25">
      <c r="A33">
        <v>4</v>
      </c>
      <c r="B33" s="55" t="s">
        <v>129</v>
      </c>
      <c r="C33" s="54"/>
      <c r="D33" s="54"/>
      <c r="E33" s="54"/>
      <c r="F33" s="54"/>
      <c r="G33" s="54"/>
      <c r="H33" s="54"/>
      <c r="I33" s="54"/>
      <c r="J33" s="54"/>
      <c r="K33" s="54">
        <v>4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24.3</v>
      </c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>
        <v>32</v>
      </c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>
        <v>60</v>
      </c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</row>
    <row r="34" spans="1:178" ht="20.25">
      <c r="A34">
        <v>2</v>
      </c>
      <c r="B34" s="55" t="s">
        <v>127</v>
      </c>
      <c r="C34" s="54"/>
      <c r="D34" s="54"/>
      <c r="E34" s="54"/>
      <c r="F34" s="54"/>
      <c r="G34" s="54"/>
      <c r="H34" s="54"/>
      <c r="I34" s="54"/>
      <c r="J34" s="54"/>
      <c r="K34" s="54">
        <v>4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>
        <v>24.3</v>
      </c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>
        <v>32</v>
      </c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>
        <v>60</v>
      </c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</row>
    <row r="35" spans="1:178" ht="20.25">
      <c r="A35">
        <v>1</v>
      </c>
      <c r="B35" s="55" t="s">
        <v>417</v>
      </c>
      <c r="C35" s="54"/>
      <c r="D35" s="54"/>
      <c r="E35" s="54"/>
      <c r="F35" s="54"/>
      <c r="G35" s="54"/>
      <c r="H35" s="54"/>
      <c r="I35" s="54"/>
      <c r="J35" s="54"/>
      <c r="K35" s="54">
        <v>4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>
        <v>24.3</v>
      </c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>
        <v>32</v>
      </c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>
        <v>60</v>
      </c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</row>
    <row r="36" spans="1:178" ht="20.25">
      <c r="A36">
        <v>207</v>
      </c>
      <c r="B36" s="54" t="s">
        <v>499</v>
      </c>
      <c r="C36" s="54"/>
      <c r="D36" s="54"/>
      <c r="E36" s="54">
        <v>108.8</v>
      </c>
      <c r="F36" s="54"/>
      <c r="G36" s="54"/>
      <c r="H36" s="54"/>
      <c r="I36" s="54"/>
      <c r="J36" s="54"/>
      <c r="K36" s="54"/>
      <c r="L36" s="54"/>
      <c r="M36" s="54"/>
      <c r="N36" s="54">
        <v>2.3</v>
      </c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>
        <v>75</v>
      </c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>
        <v>0.2</v>
      </c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</row>
    <row r="37" spans="1:178" ht="20.25">
      <c r="A37">
        <v>170</v>
      </c>
      <c r="B37" s="54" t="s">
        <v>486</v>
      </c>
      <c r="C37" s="54"/>
      <c r="D37" s="54"/>
      <c r="E37" s="54"/>
      <c r="F37" s="54"/>
      <c r="G37" s="54">
        <v>117</v>
      </c>
      <c r="H37" s="54"/>
      <c r="I37" s="54"/>
      <c r="J37" s="54"/>
      <c r="K37" s="54"/>
      <c r="L37" s="54"/>
      <c r="M37" s="54"/>
      <c r="N37" s="54">
        <v>2.4</v>
      </c>
      <c r="O37" s="54"/>
      <c r="P37" s="54"/>
      <c r="Q37" s="54"/>
      <c r="R37" s="54"/>
      <c r="S37" s="54"/>
      <c r="T37" s="54">
        <v>19.2</v>
      </c>
      <c r="U37" s="54">
        <v>0.2</v>
      </c>
      <c r="V37" s="54"/>
      <c r="W37" s="54">
        <v>12</v>
      </c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>
        <v>120</v>
      </c>
      <c r="BQ37" s="54"/>
      <c r="BR37" s="54"/>
      <c r="BS37" s="54"/>
      <c r="BT37" s="54">
        <v>14.4</v>
      </c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</row>
    <row r="38" spans="1:178" ht="20.25">
      <c r="A38">
        <v>239</v>
      </c>
      <c r="B38" s="54" t="s">
        <v>310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>
        <v>3</v>
      </c>
      <c r="O38" s="54"/>
      <c r="P38" s="54"/>
      <c r="Q38" s="54"/>
      <c r="R38" s="54">
        <v>10</v>
      </c>
      <c r="S38" s="54"/>
      <c r="T38" s="54"/>
      <c r="U38" s="54">
        <v>0.4</v>
      </c>
      <c r="V38" s="54"/>
      <c r="W38" s="54"/>
      <c r="X38" s="54"/>
      <c r="Y38" s="54"/>
      <c r="Z38" s="54">
        <v>5</v>
      </c>
      <c r="AA38" s="54"/>
      <c r="AB38" s="54"/>
      <c r="AC38" s="54"/>
      <c r="AD38" s="54"/>
      <c r="AE38" s="54"/>
      <c r="AF38" s="54"/>
      <c r="AG38" s="54"/>
      <c r="AH38" s="54">
        <v>5</v>
      </c>
      <c r="AI38" s="54"/>
      <c r="AJ38" s="54"/>
      <c r="AK38" s="54"/>
      <c r="AL38" s="54"/>
      <c r="AM38" s="54"/>
      <c r="AN38" s="54"/>
      <c r="AO38" s="54"/>
      <c r="AP38" s="54"/>
      <c r="AQ38" s="54">
        <v>40</v>
      </c>
      <c r="AR38" s="54"/>
      <c r="AS38" s="54"/>
      <c r="AT38" s="54"/>
      <c r="AU38" s="54">
        <v>72</v>
      </c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>
        <v>100</v>
      </c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>
        <v>0.3</v>
      </c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</row>
    <row r="39" spans="1:178" ht="20.25">
      <c r="A39">
        <v>72</v>
      </c>
      <c r="B39" s="54" t="s">
        <v>291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>
        <v>3</v>
      </c>
      <c r="O39" s="54"/>
      <c r="P39" s="54"/>
      <c r="Q39" s="54"/>
      <c r="R39" s="54">
        <v>3</v>
      </c>
      <c r="S39" s="54"/>
      <c r="T39" s="54"/>
      <c r="U39" s="54">
        <v>0.1</v>
      </c>
      <c r="V39" s="54"/>
      <c r="W39" s="54"/>
      <c r="X39" s="54"/>
      <c r="Y39" s="54"/>
      <c r="Z39" s="54"/>
      <c r="AA39" s="54"/>
      <c r="AB39" s="54">
        <v>41</v>
      </c>
      <c r="AC39" s="54"/>
      <c r="AD39" s="54"/>
      <c r="AE39" s="54"/>
      <c r="AF39" s="54"/>
      <c r="AG39" s="54"/>
      <c r="AH39" s="54">
        <v>6</v>
      </c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>
        <v>60</v>
      </c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>
        <v>150</v>
      </c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</row>
    <row r="40" spans="1:178" ht="20.25">
      <c r="A40">
        <v>222</v>
      </c>
      <c r="B40" s="54" t="s">
        <v>291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>
        <v>2</v>
      </c>
      <c r="O40" s="54"/>
      <c r="P40" s="54"/>
      <c r="Q40" s="54"/>
      <c r="R40" s="54">
        <v>2</v>
      </c>
      <c r="S40" s="54"/>
      <c r="T40" s="54"/>
      <c r="U40" s="54">
        <v>0.1</v>
      </c>
      <c r="V40" s="54"/>
      <c r="W40" s="54"/>
      <c r="X40" s="54"/>
      <c r="Y40" s="54"/>
      <c r="Z40" s="54"/>
      <c r="AA40" s="54"/>
      <c r="AB40" s="54">
        <v>27</v>
      </c>
      <c r="AC40" s="54"/>
      <c r="AD40" s="54"/>
      <c r="AE40" s="54"/>
      <c r="AF40" s="54"/>
      <c r="AG40" s="54"/>
      <c r="AH40" s="54">
        <v>4</v>
      </c>
      <c r="AI40" s="54"/>
      <c r="AJ40" s="54"/>
      <c r="AK40" s="54"/>
      <c r="AL40" s="54"/>
      <c r="AM40" s="54"/>
      <c r="AN40" s="54">
        <v>10</v>
      </c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>
        <v>40</v>
      </c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>
        <v>100</v>
      </c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</row>
    <row r="41" spans="1:178" ht="20.25">
      <c r="A41">
        <v>242</v>
      </c>
      <c r="B41" s="54" t="s">
        <v>314</v>
      </c>
      <c r="C41" s="54"/>
      <c r="D41" s="54"/>
      <c r="E41" s="54"/>
      <c r="F41" s="54"/>
      <c r="G41" s="54"/>
      <c r="H41" s="54"/>
      <c r="I41" s="54"/>
      <c r="J41" s="54">
        <v>50</v>
      </c>
      <c r="K41" s="54"/>
      <c r="L41" s="54"/>
      <c r="M41" s="54"/>
      <c r="N41" s="54">
        <v>1</v>
      </c>
      <c r="O41" s="54"/>
      <c r="P41" s="54"/>
      <c r="Q41" s="54"/>
      <c r="R41" s="54">
        <v>3</v>
      </c>
      <c r="S41" s="54">
        <v>51</v>
      </c>
      <c r="T41" s="54"/>
      <c r="U41" s="54"/>
      <c r="V41" s="54"/>
      <c r="W41" s="54"/>
      <c r="X41" s="54"/>
      <c r="Y41" s="54"/>
      <c r="Z41" s="54">
        <v>4.5</v>
      </c>
      <c r="AA41" s="54"/>
      <c r="AB41" s="54"/>
      <c r="AC41" s="54"/>
      <c r="AD41" s="54"/>
      <c r="AE41" s="54"/>
      <c r="AF41" s="54"/>
      <c r="AG41" s="54"/>
      <c r="AH41" s="54">
        <v>3</v>
      </c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>
        <v>0.2</v>
      </c>
      <c r="BN41" s="54"/>
      <c r="BO41" s="54"/>
      <c r="BP41" s="54">
        <v>100</v>
      </c>
      <c r="BQ41" s="54"/>
      <c r="BR41" s="54"/>
      <c r="BS41" s="54"/>
      <c r="BT41" s="54">
        <v>3</v>
      </c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>
        <v>0.5</v>
      </c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</row>
    <row r="42" spans="1:178" ht="20.25">
      <c r="A42">
        <v>240</v>
      </c>
      <c r="B42" s="54" t="s">
        <v>311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>
        <v>3</v>
      </c>
      <c r="O42" s="54"/>
      <c r="P42" s="54"/>
      <c r="Q42" s="54"/>
      <c r="R42" s="54">
        <v>3</v>
      </c>
      <c r="S42" s="54">
        <v>61</v>
      </c>
      <c r="T42" s="54"/>
      <c r="U42" s="54">
        <v>0.2</v>
      </c>
      <c r="V42" s="54"/>
      <c r="W42" s="54"/>
      <c r="X42" s="54"/>
      <c r="Y42" s="54"/>
      <c r="Z42" s="54">
        <v>4.5</v>
      </c>
      <c r="AA42" s="54"/>
      <c r="AB42" s="54"/>
      <c r="AC42" s="54"/>
      <c r="AD42" s="54"/>
      <c r="AE42" s="54"/>
      <c r="AF42" s="54"/>
      <c r="AG42" s="54"/>
      <c r="AH42" s="54">
        <v>3</v>
      </c>
      <c r="AI42" s="54"/>
      <c r="AJ42" s="54"/>
      <c r="AK42" s="54"/>
      <c r="AL42" s="54"/>
      <c r="AM42" s="54"/>
      <c r="AN42" s="54"/>
      <c r="AO42" s="54"/>
      <c r="AP42" s="54"/>
      <c r="AQ42" s="54">
        <v>10</v>
      </c>
      <c r="AR42" s="54"/>
      <c r="AS42" s="54"/>
      <c r="AT42" s="54"/>
      <c r="AU42" s="54">
        <v>10</v>
      </c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>
        <v>0.2</v>
      </c>
      <c r="BN42" s="54"/>
      <c r="BO42" s="54"/>
      <c r="BP42" s="54">
        <v>100</v>
      </c>
      <c r="BQ42" s="54"/>
      <c r="BR42" s="54"/>
      <c r="BS42" s="54"/>
      <c r="BT42" s="54">
        <v>3</v>
      </c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</row>
    <row r="43" spans="1:178" ht="20.25">
      <c r="A43">
        <v>241</v>
      </c>
      <c r="B43" s="54" t="s">
        <v>312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>
        <v>1</v>
      </c>
      <c r="O43" s="54"/>
      <c r="P43" s="54"/>
      <c r="Q43" s="54"/>
      <c r="R43" s="54">
        <v>3</v>
      </c>
      <c r="S43" s="54">
        <v>71</v>
      </c>
      <c r="T43" s="54"/>
      <c r="U43" s="54"/>
      <c r="V43" s="54"/>
      <c r="W43" s="54"/>
      <c r="X43" s="54"/>
      <c r="Y43" s="54"/>
      <c r="Z43" s="54">
        <v>6</v>
      </c>
      <c r="AA43" s="54"/>
      <c r="AB43" s="54"/>
      <c r="AC43" s="54"/>
      <c r="AD43" s="54"/>
      <c r="AE43" s="54"/>
      <c r="AF43" s="54"/>
      <c r="AG43" s="54"/>
      <c r="AH43" s="54">
        <v>3</v>
      </c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>
        <v>100</v>
      </c>
      <c r="BQ43" s="54"/>
      <c r="BR43" s="54"/>
      <c r="BS43" s="54"/>
      <c r="BT43" s="54">
        <v>3</v>
      </c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>
        <v>0.5</v>
      </c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</row>
    <row r="44" spans="1:178" ht="20.25">
      <c r="A44">
        <v>264</v>
      </c>
      <c r="B44" s="54" t="s">
        <v>126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>
        <v>125</v>
      </c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>
        <v>125</v>
      </c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</row>
    <row r="45" spans="1:178" ht="20.25">
      <c r="A45">
        <v>160</v>
      </c>
      <c r="B45" s="54" t="s">
        <v>219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>
        <v>95</v>
      </c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>
        <v>3</v>
      </c>
      <c r="BI45" s="54"/>
      <c r="BJ45" s="54"/>
      <c r="BK45" s="54"/>
      <c r="BL45" s="54"/>
      <c r="BM45" s="54"/>
      <c r="BN45" s="54"/>
      <c r="BO45" s="54"/>
      <c r="BP45" s="54">
        <v>100</v>
      </c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</row>
    <row r="46" spans="1:178" ht="20.25">
      <c r="A46">
        <v>162</v>
      </c>
      <c r="B46" s="54" t="s">
        <v>224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>
        <v>5</v>
      </c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>
        <v>31.3</v>
      </c>
      <c r="AS46" s="54">
        <v>75</v>
      </c>
      <c r="AT46" s="54">
        <v>8.7</v>
      </c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>
        <v>19.5</v>
      </c>
      <c r="BF46" s="54"/>
      <c r="BG46" s="54"/>
      <c r="BH46" s="54"/>
      <c r="BI46" s="54"/>
      <c r="BJ46" s="54"/>
      <c r="BK46" s="54"/>
      <c r="BL46" s="54">
        <v>0.1</v>
      </c>
      <c r="BM46" s="54"/>
      <c r="BN46" s="54"/>
      <c r="BO46" s="54"/>
      <c r="BP46" s="54">
        <v>250</v>
      </c>
      <c r="BQ46" s="54"/>
      <c r="BR46" s="54"/>
      <c r="BS46" s="54"/>
      <c r="BT46" s="54"/>
      <c r="BU46" s="54">
        <v>11.3</v>
      </c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</row>
    <row r="47" spans="1:178" ht="20.25">
      <c r="A47">
        <v>216</v>
      </c>
      <c r="B47" s="54" t="s">
        <v>286</v>
      </c>
      <c r="C47" s="54"/>
      <c r="D47" s="54"/>
      <c r="E47" s="54">
        <v>75</v>
      </c>
      <c r="F47" s="54"/>
      <c r="G47" s="54"/>
      <c r="H47" s="54"/>
      <c r="I47" s="54"/>
      <c r="J47" s="54"/>
      <c r="K47" s="54"/>
      <c r="L47" s="54"/>
      <c r="M47" s="54"/>
      <c r="N47" s="54">
        <v>4.5</v>
      </c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>
        <v>88.5</v>
      </c>
      <c r="AT47" s="54">
        <v>18</v>
      </c>
      <c r="AU47" s="54">
        <v>21</v>
      </c>
      <c r="AV47" s="54"/>
      <c r="AW47" s="54"/>
      <c r="AX47" s="54">
        <v>7.5</v>
      </c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>
        <v>150</v>
      </c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</row>
    <row r="48" spans="1:178" ht="20.25">
      <c r="A48" s="97">
        <v>44</v>
      </c>
      <c r="B48" s="54" t="s">
        <v>340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>
        <v>7.6</v>
      </c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>
        <v>240.3</v>
      </c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>
        <v>0.2</v>
      </c>
      <c r="BO48" s="54"/>
      <c r="BP48" s="54">
        <v>150</v>
      </c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</row>
    <row r="49" spans="1:178" ht="20.25">
      <c r="A49">
        <v>49</v>
      </c>
      <c r="B49" s="55" t="s">
        <v>343</v>
      </c>
      <c r="C49" s="55"/>
      <c r="D49" s="54"/>
      <c r="E49" s="54"/>
      <c r="F49" s="54"/>
      <c r="G49" s="54"/>
      <c r="H49" s="54"/>
      <c r="I49" s="54"/>
      <c r="J49" s="54"/>
      <c r="K49" s="54">
        <v>10.7</v>
      </c>
      <c r="L49" s="54"/>
      <c r="M49" s="54"/>
      <c r="N49" s="54"/>
      <c r="O49" s="54">
        <v>93</v>
      </c>
      <c r="P49" s="54"/>
      <c r="Q49" s="54"/>
      <c r="R49" s="54"/>
      <c r="S49" s="54"/>
      <c r="T49" s="54"/>
      <c r="U49" s="54"/>
      <c r="V49" s="54"/>
      <c r="W49" s="54">
        <v>5.2</v>
      </c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>
        <v>176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>
        <v>150</v>
      </c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</row>
    <row r="50" spans="1:178" ht="20.25">
      <c r="A50">
        <v>48</v>
      </c>
      <c r="B50" s="55" t="s">
        <v>342</v>
      </c>
      <c r="C50" s="55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>
        <v>15</v>
      </c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>
        <v>213</v>
      </c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>
        <v>150</v>
      </c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</row>
    <row r="51" spans="1:178" ht="20.25">
      <c r="A51">
        <v>174</v>
      </c>
      <c r="B51" s="54" t="s">
        <v>238</v>
      </c>
      <c r="C51" s="54"/>
      <c r="D51" s="54"/>
      <c r="E51" s="54"/>
      <c r="F51" s="54"/>
      <c r="G51" s="54"/>
      <c r="H51" s="54"/>
      <c r="I51" s="54"/>
      <c r="J51" s="54"/>
      <c r="K51" s="54">
        <v>2.4</v>
      </c>
      <c r="L51" s="54"/>
      <c r="M51" s="54"/>
      <c r="N51" s="54"/>
      <c r="O51" s="54">
        <v>18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>
        <v>146</v>
      </c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>
        <v>120</v>
      </c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>
        <v>0.3</v>
      </c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</row>
    <row r="52" spans="1:178" ht="20.25">
      <c r="A52">
        <v>43</v>
      </c>
      <c r="B52" s="55" t="s">
        <v>339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>
        <v>263.9</v>
      </c>
      <c r="AS52" s="54"/>
      <c r="AT52" s="54"/>
      <c r="AU52" s="54"/>
      <c r="AV52" s="54"/>
      <c r="AW52" s="54"/>
      <c r="AX52" s="54"/>
      <c r="AY52" s="54"/>
      <c r="AZ52" s="54">
        <v>92.5</v>
      </c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>
        <v>200</v>
      </c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</row>
    <row r="53" spans="1:178" ht="20.25">
      <c r="A53">
        <v>50</v>
      </c>
      <c r="B53" s="54" t="s">
        <v>344</v>
      </c>
      <c r="C53" s="54"/>
      <c r="D53" s="54"/>
      <c r="E53" s="54"/>
      <c r="F53" s="54"/>
      <c r="G53" s="54"/>
      <c r="H53" s="54"/>
      <c r="I53" s="54"/>
      <c r="J53" s="54"/>
      <c r="K53" s="54">
        <v>10.7</v>
      </c>
      <c r="L53" s="54"/>
      <c r="M53" s="54"/>
      <c r="N53" s="54"/>
      <c r="O53" s="54">
        <v>93</v>
      </c>
      <c r="P53" s="54"/>
      <c r="Q53" s="54"/>
      <c r="R53" s="54"/>
      <c r="S53" s="54"/>
      <c r="T53" s="54"/>
      <c r="U53" s="54"/>
      <c r="V53" s="54"/>
      <c r="W53" s="54">
        <v>5.2</v>
      </c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>
        <v>176</v>
      </c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>
        <v>150</v>
      </c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>
        <v>4.9</v>
      </c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>
        <v>0.6</v>
      </c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</row>
    <row r="54" spans="1:178" ht="20.25">
      <c r="A54">
        <v>36</v>
      </c>
      <c r="B54" s="55" t="s">
        <v>332</v>
      </c>
      <c r="C54" s="55"/>
      <c r="D54" s="54"/>
      <c r="E54" s="54"/>
      <c r="F54" s="54"/>
      <c r="G54" s="54"/>
      <c r="H54" s="54"/>
      <c r="I54" s="54"/>
      <c r="J54" s="54"/>
      <c r="K54" s="54">
        <v>0.5</v>
      </c>
      <c r="L54" s="54"/>
      <c r="M54" s="54"/>
      <c r="N54" s="54"/>
      <c r="O54" s="54">
        <v>28.5</v>
      </c>
      <c r="P54" s="54"/>
      <c r="Q54" s="54"/>
      <c r="R54" s="54"/>
      <c r="S54" s="54"/>
      <c r="T54" s="54"/>
      <c r="U54" s="54"/>
      <c r="V54" s="54"/>
      <c r="W54" s="54">
        <v>1.6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>
        <v>5</v>
      </c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>
        <v>143</v>
      </c>
      <c r="AS54" s="54"/>
      <c r="AT54" s="54">
        <v>31.3</v>
      </c>
      <c r="AU54" s="54">
        <v>45</v>
      </c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>
        <v>250</v>
      </c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</row>
    <row r="55" spans="1:178" ht="20.25">
      <c r="A55">
        <v>175</v>
      </c>
      <c r="B55" s="54" t="s">
        <v>239</v>
      </c>
      <c r="C55" s="54"/>
      <c r="D55" s="54"/>
      <c r="E55" s="54"/>
      <c r="F55" s="54"/>
      <c r="G55" s="54"/>
      <c r="H55" s="54"/>
      <c r="I55" s="54"/>
      <c r="J55" s="54"/>
      <c r="K55" s="54">
        <v>3.6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>
        <v>48</v>
      </c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>
        <v>120</v>
      </c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</row>
    <row r="56" spans="1:178" ht="20.25">
      <c r="A56">
        <v>186</v>
      </c>
      <c r="B56" s="54" t="s">
        <v>253</v>
      </c>
      <c r="C56" s="54"/>
      <c r="D56" s="54"/>
      <c r="E56" s="54"/>
      <c r="F56" s="54"/>
      <c r="G56" s="54"/>
      <c r="H56" s="54"/>
      <c r="I56" s="54"/>
      <c r="J56" s="54"/>
      <c r="K56" s="54">
        <v>4.8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>
        <v>120</v>
      </c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>
        <v>54</v>
      </c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</row>
    <row r="57" spans="1:178" ht="20.25">
      <c r="A57">
        <v>185</v>
      </c>
      <c r="B57" s="54" t="s">
        <v>252</v>
      </c>
      <c r="C57" s="54"/>
      <c r="D57" s="54"/>
      <c r="E57" s="54"/>
      <c r="F57" s="54"/>
      <c r="G57" s="54"/>
      <c r="H57" s="54"/>
      <c r="I57" s="54"/>
      <c r="J57" s="54"/>
      <c r="K57" s="54">
        <v>4.8</v>
      </c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>
        <v>120</v>
      </c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>
        <v>60</v>
      </c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</row>
    <row r="58" spans="1:178" ht="20.25">
      <c r="A58">
        <v>60</v>
      </c>
      <c r="B58" s="55" t="s">
        <v>352</v>
      </c>
      <c r="C58" s="55"/>
      <c r="D58" s="54"/>
      <c r="E58" s="54"/>
      <c r="F58" s="54"/>
      <c r="G58" s="54"/>
      <c r="H58" s="54">
        <v>21.5</v>
      </c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>
        <v>0.2</v>
      </c>
      <c r="V58" s="54"/>
      <c r="W58" s="54">
        <v>27</v>
      </c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>
        <v>100</v>
      </c>
      <c r="BQ58" s="54"/>
      <c r="BR58" s="54"/>
      <c r="BS58" s="54"/>
      <c r="BT58" s="54"/>
      <c r="BU58" s="54"/>
      <c r="BV58" s="54">
        <v>40.8</v>
      </c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</row>
    <row r="59" spans="1:178" ht="20.25">
      <c r="A59">
        <v>252</v>
      </c>
      <c r="B59" s="54" t="s">
        <v>352</v>
      </c>
      <c r="C59" s="54">
        <v>72.4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>
        <v>0.9</v>
      </c>
      <c r="O59" s="54"/>
      <c r="P59" s="54"/>
      <c r="Q59" s="54"/>
      <c r="R59" s="54"/>
      <c r="S59" s="54">
        <v>6</v>
      </c>
      <c r="T59" s="54"/>
      <c r="U59" s="54">
        <v>0.1</v>
      </c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>
        <v>60</v>
      </c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</row>
    <row r="60" spans="1:178" ht="20.25">
      <c r="A60">
        <v>263</v>
      </c>
      <c r="B60" s="54" t="s">
        <v>419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>
        <v>125</v>
      </c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>
        <v>125</v>
      </c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</row>
    <row r="61" spans="1:178" ht="20.25">
      <c r="A61">
        <v>157</v>
      </c>
      <c r="B61" s="54" t="s">
        <v>215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>
        <v>24</v>
      </c>
      <c r="Q61" s="54"/>
      <c r="R61" s="54"/>
      <c r="S61" s="54"/>
      <c r="T61" s="54"/>
      <c r="U61" s="54"/>
      <c r="V61" s="54"/>
      <c r="W61" s="54"/>
      <c r="X61" s="54">
        <v>4.5</v>
      </c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>
        <v>100</v>
      </c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</row>
    <row r="62" spans="1:178" ht="20.25">
      <c r="A62">
        <v>258</v>
      </c>
      <c r="B62" s="54" t="s">
        <v>412</v>
      </c>
      <c r="C62" s="54"/>
      <c r="D62" s="54">
        <v>72.3</v>
      </c>
      <c r="E62" s="54"/>
      <c r="F62" s="54"/>
      <c r="G62" s="54"/>
      <c r="H62" s="54"/>
      <c r="I62" s="54"/>
      <c r="J62" s="54"/>
      <c r="K62" s="54"/>
      <c r="L62" s="54"/>
      <c r="M62" s="54"/>
      <c r="N62" s="54">
        <v>1.5</v>
      </c>
      <c r="O62" s="54"/>
      <c r="P62" s="54"/>
      <c r="Q62" s="54"/>
      <c r="R62" s="54"/>
      <c r="S62" s="54"/>
      <c r="T62" s="54"/>
      <c r="U62" s="54"/>
      <c r="V62" s="54"/>
      <c r="W62" s="54"/>
      <c r="X62" s="54">
        <v>2.3</v>
      </c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>
        <v>112.5</v>
      </c>
      <c r="AS62" s="54"/>
      <c r="AT62" s="54">
        <v>15</v>
      </c>
      <c r="AU62" s="54">
        <v>15</v>
      </c>
      <c r="AV62" s="54"/>
      <c r="AW62" s="54"/>
      <c r="AX62" s="54"/>
      <c r="AY62" s="54"/>
      <c r="AZ62" s="54"/>
      <c r="BA62" s="54">
        <v>0.6</v>
      </c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>
        <v>150</v>
      </c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>
        <v>0.8</v>
      </c>
      <c r="CP62" s="54"/>
      <c r="CQ62" s="54"/>
      <c r="CR62" s="54"/>
      <c r="CS62" s="54"/>
      <c r="CT62" s="54"/>
      <c r="CU62" s="54">
        <v>0.6</v>
      </c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</row>
    <row r="63" spans="1:178" ht="20.25">
      <c r="A63">
        <v>236</v>
      </c>
      <c r="B63" s="54" t="s">
        <v>306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>
        <v>4.8</v>
      </c>
      <c r="O63" s="54"/>
      <c r="P63" s="54">
        <v>24</v>
      </c>
      <c r="Q63" s="54"/>
      <c r="R63" s="54">
        <v>12</v>
      </c>
      <c r="S63" s="54"/>
      <c r="T63" s="54"/>
      <c r="U63" s="54">
        <v>0.1</v>
      </c>
      <c r="V63" s="54"/>
      <c r="W63" s="54">
        <v>18</v>
      </c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>
        <v>13.8</v>
      </c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>
        <v>14</v>
      </c>
      <c r="BH63" s="54"/>
      <c r="BI63" s="54"/>
      <c r="BJ63" s="54"/>
      <c r="BK63" s="54">
        <v>0.4</v>
      </c>
      <c r="BL63" s="54"/>
      <c r="BM63" s="54"/>
      <c r="BN63" s="54"/>
      <c r="BO63" s="54"/>
      <c r="BP63" s="54">
        <v>60</v>
      </c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>
        <v>4.5</v>
      </c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>
        <v>3</v>
      </c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</row>
    <row r="64" spans="1:178" ht="20.25">
      <c r="A64">
        <v>156</v>
      </c>
      <c r="B64" s="54" t="s">
        <v>213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>
        <v>25</v>
      </c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>
        <v>5</v>
      </c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>
        <v>100</v>
      </c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>
        <v>0.5</v>
      </c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</row>
    <row r="65" spans="1:178" ht="20.25">
      <c r="A65">
        <v>211</v>
      </c>
      <c r="B65" s="54" t="s">
        <v>281</v>
      </c>
      <c r="C65" s="54"/>
      <c r="D65" s="54"/>
      <c r="E65" s="54">
        <v>70</v>
      </c>
      <c r="F65" s="54"/>
      <c r="G65" s="54"/>
      <c r="H65" s="54"/>
      <c r="I65" s="54"/>
      <c r="J65" s="54"/>
      <c r="K65" s="54"/>
      <c r="L65" s="54"/>
      <c r="M65" s="54"/>
      <c r="N65" s="54">
        <v>1.3</v>
      </c>
      <c r="O65" s="54">
        <v>6.8</v>
      </c>
      <c r="P65" s="54"/>
      <c r="Q65" s="54"/>
      <c r="R65" s="54"/>
      <c r="S65" s="54"/>
      <c r="T65" s="54">
        <v>9.4</v>
      </c>
      <c r="U65" s="54">
        <v>0.2</v>
      </c>
      <c r="V65" s="54"/>
      <c r="W65" s="54">
        <v>7.8</v>
      </c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>
        <v>90</v>
      </c>
      <c r="BQ65" s="54"/>
      <c r="BR65" s="54"/>
      <c r="BS65" s="54"/>
      <c r="BT65" s="54">
        <v>17</v>
      </c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</row>
    <row r="66" spans="1:178" ht="20.25">
      <c r="A66">
        <v>257</v>
      </c>
      <c r="B66" s="54" t="s">
        <v>411</v>
      </c>
      <c r="C66" s="54">
        <v>44</v>
      </c>
      <c r="D66" s="54">
        <v>25</v>
      </c>
      <c r="E66" s="54"/>
      <c r="F66" s="54"/>
      <c r="G66" s="54"/>
      <c r="H66" s="54"/>
      <c r="I66" s="54"/>
      <c r="J66" s="54"/>
      <c r="K66" s="54"/>
      <c r="L66" s="54"/>
      <c r="M66" s="54"/>
      <c r="N66" s="54">
        <v>1.5</v>
      </c>
      <c r="O66" s="54"/>
      <c r="P66" s="54"/>
      <c r="Q66" s="54"/>
      <c r="R66" s="54"/>
      <c r="S66" s="54"/>
      <c r="T66" s="54"/>
      <c r="U66" s="54">
        <v>4</v>
      </c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>
        <v>2.4</v>
      </c>
      <c r="AU66" s="54"/>
      <c r="AV66" s="54"/>
      <c r="AW66" s="54"/>
      <c r="AX66" s="54"/>
      <c r="AY66" s="54"/>
      <c r="AZ66" s="54"/>
      <c r="BA66" s="54"/>
      <c r="BB66" s="54">
        <v>16</v>
      </c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>
        <v>100</v>
      </c>
      <c r="BQ66" s="54"/>
      <c r="BR66" s="54"/>
      <c r="BS66" s="54"/>
      <c r="BT66" s="54">
        <v>5</v>
      </c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</row>
    <row r="67" spans="1:178" ht="20.25">
      <c r="A67">
        <v>113</v>
      </c>
      <c r="B67" s="55" t="s">
        <v>397</v>
      </c>
      <c r="C67" s="55"/>
      <c r="D67" s="54"/>
      <c r="E67" s="54"/>
      <c r="F67" s="54"/>
      <c r="G67" s="54"/>
      <c r="H67" s="54"/>
      <c r="I67" s="54">
        <v>100.7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>
        <v>0.1</v>
      </c>
      <c r="V67" s="54"/>
      <c r="W67" s="54">
        <v>1.88</v>
      </c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>
        <v>13.3</v>
      </c>
      <c r="AS67" s="54"/>
      <c r="AT67" s="54">
        <v>17.9</v>
      </c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>
        <v>200</v>
      </c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</row>
    <row r="68" spans="1:178" ht="20.25">
      <c r="A68">
        <v>71</v>
      </c>
      <c r="B68" s="55" t="s">
        <v>360</v>
      </c>
      <c r="C68" s="55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>
        <v>2</v>
      </c>
      <c r="O68" s="54"/>
      <c r="P68" s="54"/>
      <c r="Q68" s="54"/>
      <c r="R68" s="54">
        <v>3</v>
      </c>
      <c r="S68" s="54">
        <v>30.7</v>
      </c>
      <c r="T68" s="54"/>
      <c r="U68" s="54">
        <v>0.1</v>
      </c>
      <c r="V68" s="54"/>
      <c r="W68" s="54"/>
      <c r="X68" s="54"/>
      <c r="Y68" s="54">
        <v>32</v>
      </c>
      <c r="Z68" s="54"/>
      <c r="AA68" s="54"/>
      <c r="AB68" s="54"/>
      <c r="AC68" s="54"/>
      <c r="AD68" s="54"/>
      <c r="AE68" s="54"/>
      <c r="AF68" s="54"/>
      <c r="AG68" s="54"/>
      <c r="AH68" s="54">
        <v>4</v>
      </c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>
        <v>100</v>
      </c>
      <c r="BQ68" s="54"/>
      <c r="BR68" s="54"/>
      <c r="BS68" s="54"/>
      <c r="BT68" s="54">
        <v>2</v>
      </c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</row>
    <row r="69" spans="1:178" ht="20.25">
      <c r="A69">
        <v>214</v>
      </c>
      <c r="B69" s="54" t="s">
        <v>284</v>
      </c>
      <c r="C69" s="54"/>
      <c r="D69" s="54"/>
      <c r="E69" s="54">
        <v>72.9</v>
      </c>
      <c r="F69" s="54"/>
      <c r="G69" s="54"/>
      <c r="H69" s="54"/>
      <c r="I69" s="54"/>
      <c r="J69" s="54"/>
      <c r="K69" s="54"/>
      <c r="L69" s="54"/>
      <c r="M69" s="54"/>
      <c r="N69" s="54">
        <v>5.4</v>
      </c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>
        <v>39.6</v>
      </c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>
        <v>15.3</v>
      </c>
      <c r="AU69" s="54">
        <v>17.1</v>
      </c>
      <c r="AV69" s="54"/>
      <c r="AW69" s="54"/>
      <c r="AX69" s="54">
        <v>9</v>
      </c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>
        <v>180</v>
      </c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>
        <v>0.9</v>
      </c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>
        <v>0.5</v>
      </c>
      <c r="CV69" s="54"/>
      <c r="CW69" s="54"/>
      <c r="CX69" s="54"/>
      <c r="CY69" s="54"/>
      <c r="CZ69" s="54"/>
      <c r="DA69" s="54">
        <v>0.2</v>
      </c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</row>
    <row r="70" spans="1:178" ht="20.25">
      <c r="A70">
        <v>77</v>
      </c>
      <c r="B70" s="55" t="s">
        <v>365</v>
      </c>
      <c r="C70" s="55"/>
      <c r="D70" s="54"/>
      <c r="E70" s="54">
        <v>113</v>
      </c>
      <c r="F70" s="54"/>
      <c r="G70" s="54"/>
      <c r="H70" s="54"/>
      <c r="I70" s="54"/>
      <c r="J70" s="54"/>
      <c r="K70" s="54">
        <v>3</v>
      </c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>
        <v>18</v>
      </c>
      <c r="AU70" s="54">
        <v>4</v>
      </c>
      <c r="AV70" s="54"/>
      <c r="AW70" s="54"/>
      <c r="AX70" s="54">
        <v>2</v>
      </c>
      <c r="AY70" s="54"/>
      <c r="AZ70" s="54">
        <v>9.4</v>
      </c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>
        <v>150</v>
      </c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</row>
    <row r="71" spans="1:178" ht="20.25">
      <c r="A71">
        <v>54</v>
      </c>
      <c r="B71" s="55" t="s">
        <v>347</v>
      </c>
      <c r="C71" s="55"/>
      <c r="D71" s="54"/>
      <c r="E71" s="54"/>
      <c r="F71" s="54"/>
      <c r="G71" s="54"/>
      <c r="H71" s="54"/>
      <c r="I71" s="54"/>
      <c r="J71" s="54"/>
      <c r="K71" s="54">
        <v>8.5</v>
      </c>
      <c r="L71" s="54"/>
      <c r="M71" s="54"/>
      <c r="N71" s="54"/>
      <c r="O71" s="54">
        <v>85.4</v>
      </c>
      <c r="P71" s="54"/>
      <c r="Q71" s="54"/>
      <c r="R71" s="54"/>
      <c r="S71" s="54"/>
      <c r="T71" s="54">
        <v>21.5</v>
      </c>
      <c r="U71" s="54"/>
      <c r="V71" s="54"/>
      <c r="W71" s="54">
        <v>8.6</v>
      </c>
      <c r="X71" s="54"/>
      <c r="Y71" s="54"/>
      <c r="Z71" s="54"/>
      <c r="AA71" s="54"/>
      <c r="AB71" s="54"/>
      <c r="AC71" s="54"/>
      <c r="AD71" s="54">
        <v>19.6</v>
      </c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>
        <v>150</v>
      </c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</row>
    <row r="72" spans="1:178" ht="20.25">
      <c r="A72">
        <v>206</v>
      </c>
      <c r="B72" s="54" t="s">
        <v>276</v>
      </c>
      <c r="C72" s="54"/>
      <c r="D72" s="54"/>
      <c r="E72" s="54">
        <v>102</v>
      </c>
      <c r="F72" s="54"/>
      <c r="G72" s="54"/>
      <c r="H72" s="54"/>
      <c r="I72" s="54"/>
      <c r="J72" s="54"/>
      <c r="K72" s="54"/>
      <c r="L72" s="54"/>
      <c r="M72" s="54"/>
      <c r="N72" s="54">
        <v>0.9</v>
      </c>
      <c r="O72" s="54"/>
      <c r="P72" s="54"/>
      <c r="Q72" s="54"/>
      <c r="R72" s="54"/>
      <c r="S72" s="54"/>
      <c r="T72" s="54"/>
      <c r="U72" s="54"/>
      <c r="V72" s="54"/>
      <c r="W72" s="54"/>
      <c r="X72" s="54">
        <v>1.5</v>
      </c>
      <c r="Y72" s="54"/>
      <c r="Z72" s="54"/>
      <c r="AA72" s="54"/>
      <c r="AB72" s="54"/>
      <c r="AC72" s="54"/>
      <c r="AD72" s="54"/>
      <c r="AE72" s="54"/>
      <c r="AF72" s="54"/>
      <c r="AG72" s="54"/>
      <c r="AH72" s="54">
        <v>1.5</v>
      </c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>
        <v>1.2</v>
      </c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>
        <v>60</v>
      </c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</row>
    <row r="73" spans="1:178" ht="20.25">
      <c r="A73">
        <v>61</v>
      </c>
      <c r="B73" s="54" t="s">
        <v>279</v>
      </c>
      <c r="C73" s="54"/>
      <c r="D73" s="54"/>
      <c r="E73" s="54">
        <v>55.6</v>
      </c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>
        <v>1.8</v>
      </c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>
        <v>4.2</v>
      </c>
      <c r="AU73" s="54"/>
      <c r="AV73" s="54"/>
      <c r="AW73" s="54"/>
      <c r="AX73" s="54">
        <v>8.3</v>
      </c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>
        <v>50</v>
      </c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</row>
    <row r="74" spans="1:178" ht="20.25">
      <c r="A74">
        <v>209</v>
      </c>
      <c r="B74" s="54" t="s">
        <v>279</v>
      </c>
      <c r="C74" s="54"/>
      <c r="D74" s="54"/>
      <c r="E74" s="54">
        <v>74.4</v>
      </c>
      <c r="F74" s="54"/>
      <c r="G74" s="54"/>
      <c r="H74" s="54"/>
      <c r="I74" s="54"/>
      <c r="J74" s="54"/>
      <c r="K74" s="54"/>
      <c r="L74" s="54"/>
      <c r="M74" s="54"/>
      <c r="N74" s="54">
        <v>3.8</v>
      </c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>
        <v>4.8</v>
      </c>
      <c r="AU74" s="54"/>
      <c r="AV74" s="54"/>
      <c r="AW74" s="54"/>
      <c r="AX74" s="54">
        <v>6</v>
      </c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>
        <v>60</v>
      </c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>
        <v>0.6</v>
      </c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>
        <v>0.1</v>
      </c>
      <c r="DA74" s="54">
        <v>0.1</v>
      </c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</row>
    <row r="75" spans="1:178" ht="20.25">
      <c r="A75">
        <v>64</v>
      </c>
      <c r="B75" s="55" t="s">
        <v>278</v>
      </c>
      <c r="C75" s="55"/>
      <c r="D75" s="54"/>
      <c r="E75" s="54">
        <v>97.3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>
        <v>0.1</v>
      </c>
      <c r="V75" s="54"/>
      <c r="W75" s="54">
        <v>7.1</v>
      </c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>
        <v>70</v>
      </c>
      <c r="BQ75" s="54"/>
      <c r="BR75" s="54"/>
      <c r="BS75" s="54"/>
      <c r="BT75" s="54">
        <v>12.1</v>
      </c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</row>
    <row r="76" spans="1:178" ht="20.25">
      <c r="A76">
        <v>208</v>
      </c>
      <c r="B76" s="54" t="s">
        <v>278</v>
      </c>
      <c r="C76" s="54"/>
      <c r="D76" s="54"/>
      <c r="E76" s="54">
        <v>72.5</v>
      </c>
      <c r="F76" s="54"/>
      <c r="G76" s="54"/>
      <c r="H76" s="54"/>
      <c r="I76" s="54"/>
      <c r="J76" s="54"/>
      <c r="K76" s="54"/>
      <c r="L76" s="54"/>
      <c r="M76" s="54"/>
      <c r="N76" s="54">
        <v>1.1</v>
      </c>
      <c r="O76" s="54">
        <v>3.5</v>
      </c>
      <c r="P76" s="54"/>
      <c r="Q76" s="54"/>
      <c r="R76" s="54"/>
      <c r="S76" s="54"/>
      <c r="T76" s="54"/>
      <c r="U76" s="54">
        <v>0.1</v>
      </c>
      <c r="V76" s="54"/>
      <c r="W76" s="54">
        <v>3.6</v>
      </c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>
        <v>70</v>
      </c>
      <c r="BQ76" s="54"/>
      <c r="BR76" s="54"/>
      <c r="BS76" s="54">
        <v>0.7</v>
      </c>
      <c r="BT76" s="54">
        <v>10.5</v>
      </c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>
        <v>0.1</v>
      </c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</row>
    <row r="77" spans="1:178" ht="20.25">
      <c r="A77">
        <v>210</v>
      </c>
      <c r="B77" s="54" t="s">
        <v>280</v>
      </c>
      <c r="C77" s="54"/>
      <c r="D77" s="54"/>
      <c r="E77" s="54">
        <v>70</v>
      </c>
      <c r="F77" s="54"/>
      <c r="G77" s="54"/>
      <c r="H77" s="54"/>
      <c r="I77" s="54"/>
      <c r="J77" s="54"/>
      <c r="K77" s="54"/>
      <c r="L77" s="54"/>
      <c r="M77" s="54"/>
      <c r="N77" s="54">
        <v>1.3</v>
      </c>
      <c r="O77" s="54">
        <v>6.8</v>
      </c>
      <c r="P77" s="54"/>
      <c r="Q77" s="54"/>
      <c r="R77" s="54"/>
      <c r="S77" s="54"/>
      <c r="T77" s="54"/>
      <c r="U77" s="54">
        <v>0.3</v>
      </c>
      <c r="V77" s="54"/>
      <c r="W77" s="54">
        <v>8.5</v>
      </c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>
        <v>8.5</v>
      </c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>
        <v>85</v>
      </c>
      <c r="BQ77" s="54"/>
      <c r="BR77" s="54"/>
      <c r="BS77" s="54"/>
      <c r="BT77" s="54">
        <v>8.5</v>
      </c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</row>
    <row r="78" spans="1:178" ht="20.25">
      <c r="A78">
        <v>184</v>
      </c>
      <c r="B78" s="54" t="s">
        <v>251</v>
      </c>
      <c r="C78" s="54"/>
      <c r="D78" s="54"/>
      <c r="E78" s="54"/>
      <c r="F78" s="54"/>
      <c r="G78" s="54"/>
      <c r="H78" s="54"/>
      <c r="I78" s="54"/>
      <c r="J78" s="54"/>
      <c r="K78" s="54">
        <v>3</v>
      </c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>
        <v>120</v>
      </c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>
        <v>0.2</v>
      </c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>
        <v>58.8</v>
      </c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</row>
    <row r="79" spans="1:178" ht="20.25">
      <c r="A79">
        <v>181</v>
      </c>
      <c r="B79" s="54" t="s">
        <v>246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>
        <v>3.6</v>
      </c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>
        <v>16.2</v>
      </c>
      <c r="AV79" s="54"/>
      <c r="AW79" s="54">
        <v>7.2</v>
      </c>
      <c r="AX79" s="54"/>
      <c r="AY79" s="54"/>
      <c r="AZ79" s="54">
        <v>16.2</v>
      </c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>
        <v>120</v>
      </c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>
        <v>0.3</v>
      </c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>
        <v>48</v>
      </c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</row>
    <row r="80" spans="1:178" ht="20.25">
      <c r="A80">
        <v>102</v>
      </c>
      <c r="B80" s="55" t="s">
        <v>388</v>
      </c>
      <c r="C80" s="55"/>
      <c r="D80" s="54"/>
      <c r="E80" s="54"/>
      <c r="F80" s="54"/>
      <c r="G80" s="54"/>
      <c r="H80" s="54"/>
      <c r="I80" s="54"/>
      <c r="J80" s="54"/>
      <c r="K80" s="54">
        <v>1.7</v>
      </c>
      <c r="L80" s="54"/>
      <c r="M80" s="54"/>
      <c r="N80" s="54"/>
      <c r="O80" s="54">
        <v>15</v>
      </c>
      <c r="P80" s="54"/>
      <c r="Q80" s="54"/>
      <c r="R80" s="54"/>
      <c r="S80" s="54"/>
      <c r="T80" s="54"/>
      <c r="U80" s="54"/>
      <c r="V80" s="54"/>
      <c r="W80" s="54">
        <v>1.7</v>
      </c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>
        <v>1.5</v>
      </c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>
        <v>30</v>
      </c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</row>
    <row r="81" spans="1:178" ht="20.25">
      <c r="A81">
        <v>245</v>
      </c>
      <c r="B81" s="54" t="s">
        <v>399</v>
      </c>
      <c r="C81" s="54">
        <v>40.4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>
        <v>3</v>
      </c>
      <c r="O81" s="54"/>
      <c r="P81" s="54"/>
      <c r="Q81" s="54"/>
      <c r="R81" s="54">
        <v>8</v>
      </c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>
        <v>10.2</v>
      </c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>
        <v>38</v>
      </c>
      <c r="AT81" s="54">
        <v>8</v>
      </c>
      <c r="AU81" s="54">
        <v>8</v>
      </c>
      <c r="AV81" s="54"/>
      <c r="AW81" s="54"/>
      <c r="AX81" s="54">
        <v>5</v>
      </c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>
        <v>100</v>
      </c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</row>
    <row r="82" spans="1:178" ht="20.25">
      <c r="A82">
        <v>187</v>
      </c>
      <c r="B82" s="54" t="s">
        <v>254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>
        <v>4.5</v>
      </c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>
        <v>27.5</v>
      </c>
      <c r="AU82" s="54">
        <v>30</v>
      </c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>
        <v>250</v>
      </c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>
        <v>125</v>
      </c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>
        <v>75</v>
      </c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</row>
    <row r="83" spans="1:178" ht="20.25">
      <c r="A83">
        <v>243</v>
      </c>
      <c r="B83" s="54" t="s">
        <v>315</v>
      </c>
      <c r="C83" s="54"/>
      <c r="D83" s="54"/>
      <c r="E83" s="54"/>
      <c r="F83" s="54"/>
      <c r="G83" s="54"/>
      <c r="H83" s="54"/>
      <c r="I83" s="54"/>
      <c r="J83" s="54"/>
      <c r="K83" s="54">
        <v>3</v>
      </c>
      <c r="L83" s="54"/>
      <c r="M83" s="54"/>
      <c r="N83" s="54"/>
      <c r="O83" s="54"/>
      <c r="P83" s="54"/>
      <c r="Q83" s="54"/>
      <c r="R83" s="54">
        <v>10</v>
      </c>
      <c r="S83" s="54">
        <v>60</v>
      </c>
      <c r="T83" s="54"/>
      <c r="U83" s="54">
        <v>0.1</v>
      </c>
      <c r="V83" s="54"/>
      <c r="W83" s="54">
        <v>3</v>
      </c>
      <c r="X83" s="54">
        <v>4</v>
      </c>
      <c r="Y83" s="54"/>
      <c r="Z83" s="54"/>
      <c r="AA83" s="54"/>
      <c r="AB83" s="54"/>
      <c r="AC83" s="54"/>
      <c r="AD83" s="54"/>
      <c r="AE83" s="54"/>
      <c r="AF83" s="54"/>
      <c r="AG83" s="54"/>
      <c r="AH83" s="54">
        <v>5</v>
      </c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>
        <v>36</v>
      </c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>
        <v>0.1</v>
      </c>
      <c r="BN83" s="54"/>
      <c r="BO83" s="54"/>
      <c r="BP83" s="54">
        <v>100</v>
      </c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</row>
    <row r="84" spans="1:178" ht="20.25">
      <c r="A84">
        <v>58</v>
      </c>
      <c r="B84" s="54" t="s">
        <v>294</v>
      </c>
      <c r="C84" s="54"/>
      <c r="D84" s="54"/>
      <c r="E84" s="54">
        <v>44.4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>
        <v>0.1</v>
      </c>
      <c r="V84" s="54"/>
      <c r="W84" s="54">
        <v>5</v>
      </c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>
        <v>10</v>
      </c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>
        <v>50</v>
      </c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</row>
    <row r="85" spans="1:178" ht="20.25">
      <c r="A85">
        <v>225</v>
      </c>
      <c r="B85" s="54" t="s">
        <v>294</v>
      </c>
      <c r="C85" s="54"/>
      <c r="D85" s="54"/>
      <c r="E85" s="54"/>
      <c r="F85" s="54"/>
      <c r="G85" s="54"/>
      <c r="H85" s="54"/>
      <c r="I85" s="54"/>
      <c r="J85" s="54"/>
      <c r="K85" s="54">
        <v>0.89</v>
      </c>
      <c r="L85" s="54"/>
      <c r="M85" s="54"/>
      <c r="N85" s="54"/>
      <c r="O85" s="54">
        <v>46</v>
      </c>
      <c r="P85" s="54"/>
      <c r="Q85" s="54"/>
      <c r="R85" s="54"/>
      <c r="S85" s="54"/>
      <c r="T85" s="54">
        <v>10</v>
      </c>
      <c r="U85" s="54"/>
      <c r="V85" s="54"/>
      <c r="W85" s="54">
        <v>2.5</v>
      </c>
      <c r="X85" s="54"/>
      <c r="Y85" s="54"/>
      <c r="Z85" s="54"/>
      <c r="AA85" s="54"/>
      <c r="AB85" s="54"/>
      <c r="AC85" s="54"/>
      <c r="AD85" s="54">
        <v>18.5</v>
      </c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>
        <v>100</v>
      </c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</row>
    <row r="86" spans="1:178" ht="20.25">
      <c r="A86">
        <v>88</v>
      </c>
      <c r="B86" s="55" t="s">
        <v>374</v>
      </c>
      <c r="C86" s="55"/>
      <c r="D86" s="54"/>
      <c r="E86" s="54"/>
      <c r="F86" s="54"/>
      <c r="G86" s="54"/>
      <c r="H86" s="54"/>
      <c r="I86" s="54"/>
      <c r="J86" s="54"/>
      <c r="K86" s="54"/>
      <c r="L86" s="54"/>
      <c r="M86" s="54">
        <v>16.5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>
        <v>8.8</v>
      </c>
      <c r="AI86" s="54"/>
      <c r="AJ86" s="54"/>
      <c r="AK86" s="54"/>
      <c r="AL86" s="54"/>
      <c r="AM86" s="54"/>
      <c r="AN86" s="54"/>
      <c r="AO86" s="54"/>
      <c r="AP86" s="54"/>
      <c r="AQ86" s="54">
        <v>50</v>
      </c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>
        <v>75</v>
      </c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</row>
    <row r="87" spans="1:178" ht="20.25">
      <c r="A87">
        <v>226</v>
      </c>
      <c r="B87" s="54" t="s">
        <v>295</v>
      </c>
      <c r="C87" s="54"/>
      <c r="D87" s="54"/>
      <c r="E87" s="54"/>
      <c r="F87" s="54"/>
      <c r="G87" s="54"/>
      <c r="H87" s="54"/>
      <c r="I87" s="54"/>
      <c r="J87" s="54">
        <v>16</v>
      </c>
      <c r="K87" s="54">
        <v>2</v>
      </c>
      <c r="L87" s="54"/>
      <c r="M87" s="54"/>
      <c r="N87" s="54">
        <v>1</v>
      </c>
      <c r="O87" s="54"/>
      <c r="P87" s="54"/>
      <c r="Q87" s="54">
        <v>70</v>
      </c>
      <c r="R87" s="54"/>
      <c r="S87" s="54"/>
      <c r="T87" s="54"/>
      <c r="U87" s="54"/>
      <c r="V87" s="54"/>
      <c r="W87" s="54">
        <v>4.5</v>
      </c>
      <c r="X87" s="54"/>
      <c r="Y87" s="54"/>
      <c r="Z87" s="54">
        <v>20</v>
      </c>
      <c r="AA87" s="54"/>
      <c r="AB87" s="54"/>
      <c r="AC87" s="54"/>
      <c r="AD87" s="54"/>
      <c r="AE87" s="54"/>
      <c r="AF87" s="54"/>
      <c r="AG87" s="54"/>
      <c r="AH87" s="54">
        <v>5</v>
      </c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>
        <v>0.5</v>
      </c>
      <c r="BP87" s="54">
        <v>100</v>
      </c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</row>
    <row r="88" spans="1:178" ht="20.25">
      <c r="A88">
        <v>197</v>
      </c>
      <c r="B88" s="54" t="s">
        <v>492</v>
      </c>
      <c r="C88" s="54"/>
      <c r="D88" s="54"/>
      <c r="E88" s="54"/>
      <c r="F88" s="54"/>
      <c r="G88" s="54"/>
      <c r="H88" s="54"/>
      <c r="I88" s="54">
        <v>111.5</v>
      </c>
      <c r="J88" s="54"/>
      <c r="K88" s="54">
        <v>2.4</v>
      </c>
      <c r="L88" s="54"/>
      <c r="M88" s="54"/>
      <c r="N88" s="54"/>
      <c r="O88" s="54">
        <v>28.5</v>
      </c>
      <c r="P88" s="54"/>
      <c r="Q88" s="54"/>
      <c r="R88" s="54"/>
      <c r="S88" s="54"/>
      <c r="T88" s="54"/>
      <c r="U88" s="54"/>
      <c r="V88" s="54"/>
      <c r="W88" s="54">
        <v>20.6</v>
      </c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>
        <v>18</v>
      </c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>
        <v>100</v>
      </c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</row>
    <row r="89" spans="1:178" ht="20.25">
      <c r="A89">
        <v>30</v>
      </c>
      <c r="B89" s="55" t="s">
        <v>327</v>
      </c>
      <c r="C89" s="55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>
        <v>15.5</v>
      </c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>
        <v>125</v>
      </c>
      <c r="AS89" s="54"/>
      <c r="AT89" s="54">
        <v>6.2</v>
      </c>
      <c r="AU89" s="54">
        <v>31.3</v>
      </c>
      <c r="AV89" s="54"/>
      <c r="AW89" s="54"/>
      <c r="AX89" s="54"/>
      <c r="AY89" s="54">
        <v>8.8</v>
      </c>
      <c r="AZ89" s="54"/>
      <c r="BA89" s="54"/>
      <c r="BB89" s="54"/>
      <c r="BC89" s="54"/>
      <c r="BD89" s="54"/>
      <c r="BE89" s="54">
        <v>10.8</v>
      </c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>
        <v>250</v>
      </c>
      <c r="BQ89" s="54"/>
      <c r="BR89" s="54"/>
      <c r="BS89" s="54"/>
      <c r="BT89" s="54"/>
      <c r="BU89" s="54"/>
      <c r="BV89" s="54"/>
      <c r="BW89" s="54"/>
      <c r="BX89" s="54"/>
      <c r="BY89" s="54">
        <v>10</v>
      </c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</row>
    <row r="90" spans="1:178" ht="20.25">
      <c r="A90">
        <v>192</v>
      </c>
      <c r="B90" s="54" t="s">
        <v>259</v>
      </c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>
        <v>3.6</v>
      </c>
      <c r="O90" s="54">
        <v>28.8</v>
      </c>
      <c r="P90" s="54"/>
      <c r="Q90" s="54"/>
      <c r="R90" s="54"/>
      <c r="S90" s="54"/>
      <c r="T90" s="54"/>
      <c r="U90" s="54">
        <v>0.2</v>
      </c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>
        <v>3</v>
      </c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>
        <v>60</v>
      </c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>
        <v>16.8</v>
      </c>
      <c r="DR90" s="54">
        <v>11.1</v>
      </c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</row>
    <row r="91" spans="1:178" ht="20.25">
      <c r="A91">
        <v>265</v>
      </c>
      <c r="B91" s="54" t="s">
        <v>423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>
        <v>180</v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>
        <v>180</v>
      </c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</row>
    <row r="92" spans="1:178" ht="20.25">
      <c r="A92">
        <v>35</v>
      </c>
      <c r="B92" s="55" t="s">
        <v>331</v>
      </c>
      <c r="C92" s="55"/>
      <c r="D92" s="54"/>
      <c r="E92" s="54"/>
      <c r="F92" s="54"/>
      <c r="G92" s="54"/>
      <c r="H92" s="54"/>
      <c r="I92" s="54"/>
      <c r="J92" s="54"/>
      <c r="K92" s="54">
        <v>0.5</v>
      </c>
      <c r="L92" s="54"/>
      <c r="M92" s="54"/>
      <c r="N92" s="54"/>
      <c r="O92" s="54">
        <v>28.5</v>
      </c>
      <c r="P92" s="54"/>
      <c r="Q92" s="54"/>
      <c r="R92" s="54"/>
      <c r="S92" s="54"/>
      <c r="T92" s="54"/>
      <c r="U92" s="54"/>
      <c r="V92" s="54"/>
      <c r="W92" s="54">
        <v>1.6</v>
      </c>
      <c r="X92" s="54"/>
      <c r="Y92" s="54"/>
      <c r="Z92" s="54"/>
      <c r="AA92" s="54"/>
      <c r="AB92" s="54"/>
      <c r="AC92" s="54"/>
      <c r="AD92" s="54"/>
      <c r="AE92" s="54"/>
      <c r="AF92" s="54"/>
      <c r="AG92" s="54">
        <v>5</v>
      </c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>
        <v>71.3</v>
      </c>
      <c r="AS92" s="54"/>
      <c r="AT92" s="54"/>
      <c r="AU92" s="54">
        <v>133.5</v>
      </c>
      <c r="AV92" s="54"/>
      <c r="AW92" s="54"/>
      <c r="AX92" s="54"/>
      <c r="AY92" s="54"/>
      <c r="AZ92" s="54"/>
      <c r="BA92" s="54">
        <v>0.8</v>
      </c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>
        <v>250</v>
      </c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</row>
    <row r="93" spans="1:178" ht="20.25">
      <c r="A93">
        <v>69</v>
      </c>
      <c r="B93" s="55" t="s">
        <v>358</v>
      </c>
      <c r="C93" s="55"/>
      <c r="D93" s="54"/>
      <c r="E93" s="54"/>
      <c r="F93" s="54"/>
      <c r="G93" s="54"/>
      <c r="H93" s="54"/>
      <c r="I93" s="54"/>
      <c r="J93" s="54"/>
      <c r="K93" s="54">
        <v>3.3</v>
      </c>
      <c r="L93" s="54"/>
      <c r="M93" s="54"/>
      <c r="N93" s="54">
        <v>6.7</v>
      </c>
      <c r="O93" s="54"/>
      <c r="P93" s="54"/>
      <c r="Q93" s="54"/>
      <c r="R93" s="54"/>
      <c r="S93" s="54"/>
      <c r="T93" s="54"/>
      <c r="U93" s="54">
        <v>0.1</v>
      </c>
      <c r="V93" s="54"/>
      <c r="W93" s="54">
        <v>20</v>
      </c>
      <c r="X93" s="54"/>
      <c r="Y93" s="54"/>
      <c r="Z93" s="54">
        <v>12</v>
      </c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>
        <v>133.3</v>
      </c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>
        <v>100</v>
      </c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</row>
    <row r="94" spans="1:178" ht="20.25">
      <c r="A94">
        <v>70</v>
      </c>
      <c r="B94" s="55" t="s">
        <v>359</v>
      </c>
      <c r="C94" s="55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>
        <v>1.3</v>
      </c>
      <c r="O94" s="54"/>
      <c r="P94" s="54"/>
      <c r="Q94" s="54"/>
      <c r="R94" s="54"/>
      <c r="S94" s="54"/>
      <c r="T94" s="54"/>
      <c r="U94" s="54">
        <v>0.1</v>
      </c>
      <c r="V94" s="54"/>
      <c r="W94" s="54">
        <v>13.3</v>
      </c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>
        <v>86.6</v>
      </c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>
        <v>100</v>
      </c>
      <c r="BQ94" s="54"/>
      <c r="BR94" s="54"/>
      <c r="BS94" s="54"/>
      <c r="BT94" s="54">
        <v>6.7</v>
      </c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</row>
    <row r="95" spans="1:178" ht="20.25">
      <c r="A95">
        <v>17</v>
      </c>
      <c r="B95" s="55" t="s">
        <v>146</v>
      </c>
      <c r="C95" s="54">
        <v>51.6</v>
      </c>
      <c r="D95" s="54"/>
      <c r="E95" s="54"/>
      <c r="F95" s="54"/>
      <c r="G95" s="54">
        <v>79.2</v>
      </c>
      <c r="H95" s="54"/>
      <c r="I95" s="54"/>
      <c r="J95" s="54"/>
      <c r="K95" s="54">
        <v>0.85</v>
      </c>
      <c r="L95" s="54"/>
      <c r="M95" s="54"/>
      <c r="N95" s="54">
        <v>3.8</v>
      </c>
      <c r="O95" s="54">
        <v>47</v>
      </c>
      <c r="P95" s="54"/>
      <c r="Q95" s="54"/>
      <c r="R95" s="54"/>
      <c r="S95" s="54"/>
      <c r="T95" s="54"/>
      <c r="U95" s="54"/>
      <c r="V95" s="54"/>
      <c r="W95" s="54">
        <v>206</v>
      </c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>
        <v>9.9</v>
      </c>
      <c r="AU95" s="54"/>
      <c r="AV95" s="54"/>
      <c r="AW95" s="54"/>
      <c r="AX95" s="54">
        <v>13.2</v>
      </c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>
        <v>150</v>
      </c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</row>
    <row r="96" spans="1:178" ht="20.25">
      <c r="A96">
        <v>52</v>
      </c>
      <c r="B96" s="55" t="s">
        <v>146</v>
      </c>
      <c r="C96" s="55"/>
      <c r="D96" s="54"/>
      <c r="E96" s="54"/>
      <c r="F96" s="54"/>
      <c r="G96" s="54">
        <v>79.2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>
        <v>6</v>
      </c>
      <c r="T96" s="54"/>
      <c r="U96" s="54">
        <v>0.1</v>
      </c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>
        <v>50</v>
      </c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</row>
    <row r="97" spans="1:178" ht="20.25">
      <c r="A97">
        <v>55</v>
      </c>
      <c r="B97" s="54" t="s">
        <v>348</v>
      </c>
      <c r="C97" s="54"/>
      <c r="D97" s="54"/>
      <c r="E97" s="54">
        <v>64.1</v>
      </c>
      <c r="F97" s="54"/>
      <c r="G97" s="54"/>
      <c r="H97" s="54"/>
      <c r="I97" s="54"/>
      <c r="J97" s="54"/>
      <c r="K97" s="54">
        <v>3</v>
      </c>
      <c r="L97" s="54"/>
      <c r="M97" s="54"/>
      <c r="N97" s="54">
        <v>1.1</v>
      </c>
      <c r="O97" s="54"/>
      <c r="P97" s="54"/>
      <c r="Q97" s="54"/>
      <c r="R97" s="54"/>
      <c r="S97" s="54"/>
      <c r="T97" s="54"/>
      <c r="U97" s="54"/>
      <c r="V97" s="54"/>
      <c r="W97" s="54">
        <v>2</v>
      </c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>
        <v>103.1</v>
      </c>
      <c r="AS97" s="54"/>
      <c r="AT97" s="54">
        <v>11.6</v>
      </c>
      <c r="AU97" s="54">
        <v>22.4</v>
      </c>
      <c r="AV97" s="54"/>
      <c r="AW97" s="54"/>
      <c r="AX97" s="54">
        <v>7.5</v>
      </c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>
        <v>150</v>
      </c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</row>
    <row r="98" spans="1:178" ht="20.25">
      <c r="A98">
        <v>159</v>
      </c>
      <c r="B98" s="54" t="s">
        <v>217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>
        <v>100</v>
      </c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>
        <v>10</v>
      </c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</row>
    <row r="99" spans="1:178" ht="20.25">
      <c r="A99">
        <v>42</v>
      </c>
      <c r="B99" s="55" t="s">
        <v>338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>
        <v>0.2</v>
      </c>
      <c r="V99" s="54"/>
      <c r="W99" s="54">
        <v>61.2</v>
      </c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>
        <v>154.6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>
        <v>200</v>
      </c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</row>
    <row r="100" spans="1:178" ht="20.25">
      <c r="A100">
        <v>176</v>
      </c>
      <c r="B100" s="54" t="s">
        <v>240</v>
      </c>
      <c r="C100" s="54"/>
      <c r="D100" s="54"/>
      <c r="E100" s="54"/>
      <c r="F100" s="54"/>
      <c r="G100" s="54"/>
      <c r="H100" s="54"/>
      <c r="I100" s="54"/>
      <c r="J100" s="54"/>
      <c r="K100" s="54">
        <v>1.8</v>
      </c>
      <c r="L100" s="54"/>
      <c r="M100" s="54"/>
      <c r="N100" s="54">
        <v>2.4</v>
      </c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>
        <v>36.7</v>
      </c>
      <c r="AD100" s="54"/>
      <c r="AE100" s="54"/>
      <c r="AF100" s="54"/>
      <c r="AG100" s="54">
        <v>6</v>
      </c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>
        <v>17</v>
      </c>
      <c r="AU100" s="54">
        <v>15</v>
      </c>
      <c r="AV100" s="54">
        <v>21</v>
      </c>
      <c r="AW100" s="54"/>
      <c r="AX100" s="54">
        <v>3.8</v>
      </c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>
        <v>120</v>
      </c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>
        <v>0.7</v>
      </c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</row>
    <row r="101" spans="1:178" ht="20.25">
      <c r="A101">
        <v>171</v>
      </c>
      <c r="B101" s="54" t="s">
        <v>233</v>
      </c>
      <c r="C101" s="54"/>
      <c r="D101" s="54"/>
      <c r="E101" s="54"/>
      <c r="F101" s="54"/>
      <c r="G101" s="54">
        <v>29.3</v>
      </c>
      <c r="H101" s="54"/>
      <c r="I101" s="54"/>
      <c r="J101" s="54"/>
      <c r="K101" s="54"/>
      <c r="L101" s="54"/>
      <c r="M101" s="54"/>
      <c r="N101" s="54">
        <v>6</v>
      </c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>
        <v>27.6</v>
      </c>
      <c r="AS101" s="54"/>
      <c r="AT101" s="54">
        <v>7</v>
      </c>
      <c r="AU101" s="54">
        <v>12</v>
      </c>
      <c r="AV101" s="54"/>
      <c r="AW101" s="54"/>
      <c r="AX101" s="54">
        <v>6</v>
      </c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>
        <v>120</v>
      </c>
      <c r="BQ101" s="54"/>
      <c r="BR101" s="54">
        <v>18</v>
      </c>
      <c r="BS101" s="54"/>
      <c r="BT101" s="54"/>
      <c r="BU101" s="54"/>
      <c r="BV101" s="54"/>
      <c r="BW101" s="54"/>
      <c r="BX101" s="54"/>
      <c r="BY101" s="54">
        <v>22.5</v>
      </c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>
        <v>12</v>
      </c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>
        <v>0.4</v>
      </c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</row>
    <row r="102" spans="1:178" ht="20.25">
      <c r="A102">
        <v>129</v>
      </c>
      <c r="B102" s="54" t="s">
        <v>173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>
        <v>5</v>
      </c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>
        <v>66.8</v>
      </c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>
        <v>100</v>
      </c>
      <c r="BQ102" s="54"/>
      <c r="BR102" s="54"/>
      <c r="BS102" s="54"/>
      <c r="BT102" s="54"/>
      <c r="BU102" s="54"/>
      <c r="BV102" s="54"/>
      <c r="BW102" s="54"/>
      <c r="BX102" s="54"/>
      <c r="BY102" s="54">
        <v>24</v>
      </c>
      <c r="BZ102" s="54">
        <v>27.5</v>
      </c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>
        <v>5</v>
      </c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</row>
    <row r="103" spans="1:178" ht="20.25">
      <c r="A103">
        <v>172</v>
      </c>
      <c r="B103" s="54" t="s">
        <v>234</v>
      </c>
      <c r="C103" s="54"/>
      <c r="D103" s="54"/>
      <c r="E103" s="54"/>
      <c r="F103" s="54"/>
      <c r="G103" s="54">
        <v>43.9</v>
      </c>
      <c r="H103" s="54"/>
      <c r="I103" s="54"/>
      <c r="J103" s="54"/>
      <c r="K103" s="54"/>
      <c r="L103" s="54"/>
      <c r="M103" s="54"/>
      <c r="N103" s="54">
        <v>6</v>
      </c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>
        <v>20.9</v>
      </c>
      <c r="AU103" s="54">
        <v>18</v>
      </c>
      <c r="AV103" s="54"/>
      <c r="AW103" s="54"/>
      <c r="AX103" s="54"/>
      <c r="AY103" s="54">
        <v>20.7</v>
      </c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>
        <v>120</v>
      </c>
      <c r="BQ103" s="54"/>
      <c r="BR103" s="54"/>
      <c r="BS103" s="54"/>
      <c r="BT103" s="54"/>
      <c r="BU103" s="54"/>
      <c r="BV103" s="54"/>
      <c r="BW103" s="54"/>
      <c r="BX103" s="54"/>
      <c r="BY103" s="54">
        <v>37.5</v>
      </c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>
        <v>12</v>
      </c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>
        <v>34.5</v>
      </c>
      <c r="DK103" s="54">
        <v>0.4</v>
      </c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</row>
    <row r="104" spans="1:178" ht="20.25">
      <c r="A104">
        <v>191</v>
      </c>
      <c r="B104" s="54" t="s">
        <v>258</v>
      </c>
      <c r="C104" s="54"/>
      <c r="D104" s="54"/>
      <c r="E104" s="54"/>
      <c r="F104" s="54"/>
      <c r="G104" s="54"/>
      <c r="H104" s="54"/>
      <c r="I104" s="54"/>
      <c r="J104" s="54"/>
      <c r="K104" s="54">
        <v>1.8</v>
      </c>
      <c r="L104" s="54"/>
      <c r="M104" s="54"/>
      <c r="N104" s="54"/>
      <c r="O104" s="54">
        <v>28.5</v>
      </c>
      <c r="P104" s="54"/>
      <c r="Q104" s="54"/>
      <c r="R104" s="54"/>
      <c r="S104" s="54"/>
      <c r="T104" s="54"/>
      <c r="U104" s="54"/>
      <c r="V104" s="54"/>
      <c r="W104" s="54">
        <v>4</v>
      </c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>
        <v>30</v>
      </c>
      <c r="AT104" s="54"/>
      <c r="AU104" s="54">
        <v>64</v>
      </c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>
        <v>120</v>
      </c>
      <c r="BQ104" s="54"/>
      <c r="BR104" s="54">
        <v>36</v>
      </c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</row>
    <row r="105" spans="1:178" ht="20.25">
      <c r="A105">
        <v>228</v>
      </c>
      <c r="B105" s="54" t="s">
        <v>297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>
        <v>6</v>
      </c>
      <c r="O105" s="54"/>
      <c r="P105" s="54"/>
      <c r="Q105" s="54"/>
      <c r="R105" s="54">
        <v>15</v>
      </c>
      <c r="S105" s="54"/>
      <c r="T105" s="54"/>
      <c r="U105" s="54">
        <v>0.1</v>
      </c>
      <c r="V105" s="54"/>
      <c r="W105" s="54">
        <v>27</v>
      </c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>
        <v>5</v>
      </c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>
        <v>42</v>
      </c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>
        <v>10</v>
      </c>
      <c r="BH105" s="54"/>
      <c r="BI105" s="54"/>
      <c r="BJ105" s="54"/>
      <c r="BK105" s="54"/>
      <c r="BL105" s="54"/>
      <c r="BM105" s="54"/>
      <c r="BN105" s="54"/>
      <c r="BO105" s="54">
        <v>0.5</v>
      </c>
      <c r="BP105" s="54">
        <v>100</v>
      </c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</row>
    <row r="106" spans="1:178" ht="20.25">
      <c r="A106">
        <v>89</v>
      </c>
      <c r="B106" s="55" t="s">
        <v>375</v>
      </c>
      <c r="C106" s="55"/>
      <c r="D106" s="54"/>
      <c r="E106" s="54"/>
      <c r="F106" s="54"/>
      <c r="G106" s="54"/>
      <c r="H106" s="54"/>
      <c r="I106" s="54"/>
      <c r="J106" s="54">
        <v>16</v>
      </c>
      <c r="K106" s="54">
        <v>2</v>
      </c>
      <c r="L106" s="54"/>
      <c r="M106" s="54"/>
      <c r="N106" s="54">
        <v>1</v>
      </c>
      <c r="O106" s="54"/>
      <c r="P106" s="54"/>
      <c r="Q106" s="54">
        <v>70</v>
      </c>
      <c r="R106" s="54"/>
      <c r="S106" s="54"/>
      <c r="T106" s="54"/>
      <c r="U106" s="54"/>
      <c r="V106" s="54"/>
      <c r="W106" s="54">
        <v>4.5</v>
      </c>
      <c r="X106" s="54"/>
      <c r="Y106" s="54"/>
      <c r="Z106" s="54">
        <v>20</v>
      </c>
      <c r="AA106" s="54"/>
      <c r="AB106" s="54"/>
      <c r="AC106" s="54"/>
      <c r="AD106" s="54"/>
      <c r="AE106" s="54"/>
      <c r="AF106" s="54"/>
      <c r="AG106" s="54"/>
      <c r="AH106" s="54">
        <v>2.5</v>
      </c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>
        <v>100</v>
      </c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</row>
    <row r="107" spans="1:178" ht="20.25">
      <c r="A107">
        <v>246</v>
      </c>
      <c r="B107" s="54" t="s">
        <v>401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>
        <v>3.4</v>
      </c>
      <c r="O107" s="54">
        <v>11.3</v>
      </c>
      <c r="P107" s="54"/>
      <c r="Q107" s="54"/>
      <c r="R107" s="54"/>
      <c r="S107" s="54"/>
      <c r="T107" s="54"/>
      <c r="U107" s="54">
        <v>1.5</v>
      </c>
      <c r="V107" s="54"/>
      <c r="W107" s="54">
        <v>11.3</v>
      </c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>
        <v>75</v>
      </c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</row>
    <row r="108" spans="1:178" ht="20.25">
      <c r="A108">
        <v>246</v>
      </c>
      <c r="B108" s="54" t="s">
        <v>400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>
        <v>3.4</v>
      </c>
      <c r="O108" s="54">
        <v>11.3</v>
      </c>
      <c r="P108" s="54"/>
      <c r="Q108" s="54"/>
      <c r="R108" s="54"/>
      <c r="S108" s="54"/>
      <c r="T108" s="54"/>
      <c r="U108" s="54">
        <v>1.5</v>
      </c>
      <c r="V108" s="54"/>
      <c r="W108" s="54">
        <v>7.5</v>
      </c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>
        <v>75</v>
      </c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</row>
    <row r="109" spans="1:178" ht="20.25">
      <c r="A109">
        <v>247</v>
      </c>
      <c r="B109" s="54" t="s">
        <v>402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>
        <v>3.4</v>
      </c>
      <c r="O109" s="54">
        <v>11.3</v>
      </c>
      <c r="P109" s="54"/>
      <c r="Q109" s="54"/>
      <c r="R109" s="54"/>
      <c r="S109" s="54"/>
      <c r="T109" s="54"/>
      <c r="U109" s="54">
        <v>1.5</v>
      </c>
      <c r="V109" s="54"/>
      <c r="W109" s="54"/>
      <c r="X109" s="54">
        <v>3.8</v>
      </c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>
        <v>75</v>
      </c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</row>
    <row r="110" spans="1:178" ht="20.25">
      <c r="A110">
        <v>248</v>
      </c>
      <c r="B110" s="54" t="s">
        <v>403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>
        <v>3.4</v>
      </c>
      <c r="O110" s="54">
        <v>11.3</v>
      </c>
      <c r="P110" s="54"/>
      <c r="Q110" s="54"/>
      <c r="R110" s="54"/>
      <c r="S110" s="54"/>
      <c r="T110" s="54"/>
      <c r="U110" s="54">
        <v>1.5</v>
      </c>
      <c r="V110" s="54"/>
      <c r="W110" s="54"/>
      <c r="X110" s="54">
        <v>3.8</v>
      </c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>
        <v>75</v>
      </c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</row>
    <row r="111" spans="1:178" ht="20.25">
      <c r="A111">
        <v>56</v>
      </c>
      <c r="B111" s="54" t="s">
        <v>349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>
        <v>0.4</v>
      </c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>
        <v>3</v>
      </c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>
        <v>85</v>
      </c>
      <c r="AU111" s="54">
        <v>3</v>
      </c>
      <c r="AV111" s="54"/>
      <c r="AW111" s="54"/>
      <c r="AX111" s="54">
        <v>20</v>
      </c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>
        <v>100</v>
      </c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</row>
    <row r="112" spans="1:178" ht="20.25">
      <c r="A112">
        <v>224</v>
      </c>
      <c r="B112" s="54" t="s">
        <v>293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>
        <v>66.7</v>
      </c>
      <c r="P112" s="54"/>
      <c r="Q112" s="54"/>
      <c r="R112" s="54"/>
      <c r="S112" s="54"/>
      <c r="T112" s="54"/>
      <c r="U112" s="54">
        <v>0.1</v>
      </c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>
        <v>5</v>
      </c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>
        <v>20</v>
      </c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>
        <v>0.4</v>
      </c>
      <c r="BN112" s="54"/>
      <c r="BO112" s="54"/>
      <c r="BP112" s="54">
        <v>100</v>
      </c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</row>
    <row r="113" spans="1:178" ht="20.25">
      <c r="A113">
        <v>85</v>
      </c>
      <c r="B113" s="55" t="s">
        <v>372</v>
      </c>
      <c r="C113" s="55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>
        <v>50</v>
      </c>
      <c r="P113" s="54"/>
      <c r="Q113" s="54"/>
      <c r="R113" s="54"/>
      <c r="S113" s="54"/>
      <c r="T113" s="54"/>
      <c r="U113" s="54">
        <v>0.1</v>
      </c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>
        <v>5</v>
      </c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>
        <v>15</v>
      </c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>
        <v>75</v>
      </c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</row>
    <row r="114" spans="1:178" ht="20.25">
      <c r="A114">
        <v>83</v>
      </c>
      <c r="B114" s="55" t="s">
        <v>298</v>
      </c>
      <c r="C114" s="55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>
        <v>4.5</v>
      </c>
      <c r="O114" s="54"/>
      <c r="P114" s="54"/>
      <c r="Q114" s="54"/>
      <c r="R114" s="54"/>
      <c r="S114" s="54"/>
      <c r="T114" s="54"/>
      <c r="U114" s="54">
        <v>0.1</v>
      </c>
      <c r="V114" s="54"/>
      <c r="W114" s="54">
        <v>23.4</v>
      </c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>
        <v>6.2</v>
      </c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>
        <v>63.1</v>
      </c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>
        <v>75</v>
      </c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</row>
    <row r="115" spans="1:178" ht="20.25">
      <c r="A115">
        <v>229</v>
      </c>
      <c r="B115" s="54" t="s">
        <v>298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>
        <v>6</v>
      </c>
      <c r="O115" s="54"/>
      <c r="P115" s="54"/>
      <c r="Q115" s="54"/>
      <c r="R115" s="54"/>
      <c r="S115" s="54"/>
      <c r="T115" s="54"/>
      <c r="U115" s="54">
        <v>0.1</v>
      </c>
      <c r="V115" s="54"/>
      <c r="W115" s="54">
        <v>31.2</v>
      </c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>
        <v>5</v>
      </c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>
        <v>84.1</v>
      </c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>
        <v>1.4</v>
      </c>
      <c r="BP115" s="54">
        <v>100</v>
      </c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</row>
    <row r="116" spans="1:178" ht="20.25">
      <c r="A116">
        <v>215</v>
      </c>
      <c r="B116" s="54" t="s">
        <v>285</v>
      </c>
      <c r="C116" s="54"/>
      <c r="D116" s="54"/>
      <c r="E116" s="54">
        <v>73.8</v>
      </c>
      <c r="F116" s="54"/>
      <c r="G116" s="54"/>
      <c r="H116" s="54"/>
      <c r="I116" s="54"/>
      <c r="J116" s="54"/>
      <c r="K116" s="54"/>
      <c r="L116" s="54"/>
      <c r="M116" s="54"/>
      <c r="N116" s="54">
        <v>5.4</v>
      </c>
      <c r="O116" s="54">
        <v>18</v>
      </c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>
        <v>142.2</v>
      </c>
      <c r="AS116" s="54"/>
      <c r="AT116" s="54">
        <v>21.6</v>
      </c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>
        <v>180</v>
      </c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</row>
    <row r="117" spans="1:178" ht="20.25">
      <c r="A117">
        <v>63</v>
      </c>
      <c r="B117" s="55" t="s">
        <v>354</v>
      </c>
      <c r="C117" s="55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>
        <v>95.6</v>
      </c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>
        <v>86.6</v>
      </c>
      <c r="AS117" s="54"/>
      <c r="AT117" s="54">
        <v>20.1</v>
      </c>
      <c r="AU117" s="54">
        <v>83.4</v>
      </c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>
        <v>200</v>
      </c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</row>
    <row r="118" spans="1:178" ht="20.25">
      <c r="A118">
        <v>114</v>
      </c>
      <c r="B118" s="55" t="s">
        <v>398</v>
      </c>
      <c r="C118" s="55">
        <v>31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>
        <v>144</v>
      </c>
      <c r="AS118" s="54"/>
      <c r="AT118" s="54">
        <v>25</v>
      </c>
      <c r="AU118" s="54">
        <v>25</v>
      </c>
      <c r="AV118" s="54"/>
      <c r="AW118" s="54"/>
      <c r="AX118" s="54">
        <v>5</v>
      </c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>
        <v>75</v>
      </c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</row>
    <row r="119" spans="1:178" ht="20.25">
      <c r="A119">
        <v>76</v>
      </c>
      <c r="B119" s="55" t="s">
        <v>364</v>
      </c>
      <c r="C119" s="55"/>
      <c r="D119" s="54">
        <v>40.7</v>
      </c>
      <c r="E119" s="54"/>
      <c r="F119" s="54"/>
      <c r="G119" s="54"/>
      <c r="H119" s="54"/>
      <c r="I119" s="54"/>
      <c r="J119" s="54"/>
      <c r="K119" s="54"/>
      <c r="L119" s="54"/>
      <c r="M119" s="54"/>
      <c r="N119" s="54">
        <v>5</v>
      </c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>
        <v>250</v>
      </c>
      <c r="AS119" s="54"/>
      <c r="AT119" s="54">
        <v>36.2</v>
      </c>
      <c r="AU119" s="54"/>
      <c r="AV119" s="54"/>
      <c r="AW119" s="54"/>
      <c r="AX119" s="54">
        <v>5</v>
      </c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>
        <v>150</v>
      </c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</row>
    <row r="120" spans="1:178" ht="20.25">
      <c r="A120">
        <v>254</v>
      </c>
      <c r="B120" s="54" t="s">
        <v>408</v>
      </c>
      <c r="C120" s="54">
        <v>72.5</v>
      </c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>
        <v>4.5</v>
      </c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>
        <v>118.5</v>
      </c>
      <c r="AS120" s="54"/>
      <c r="AT120" s="54">
        <v>13.5</v>
      </c>
      <c r="AU120" s="54">
        <v>20.3</v>
      </c>
      <c r="AV120" s="54"/>
      <c r="AW120" s="54"/>
      <c r="AX120" s="54">
        <v>7.5</v>
      </c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>
        <v>150</v>
      </c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</row>
    <row r="121" spans="1:178" ht="20.25">
      <c r="A121">
        <v>260</v>
      </c>
      <c r="B121" s="54" t="s">
        <v>415</v>
      </c>
      <c r="C121" s="54"/>
      <c r="D121" s="54">
        <v>72.3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54">
        <v>4.5</v>
      </c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>
        <v>112.5</v>
      </c>
      <c r="AS121" s="54"/>
      <c r="AT121" s="54">
        <v>18</v>
      </c>
      <c r="AU121" s="54">
        <v>20.3</v>
      </c>
      <c r="AV121" s="54"/>
      <c r="AW121" s="54"/>
      <c r="AX121" s="54">
        <v>7.5</v>
      </c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>
        <v>150</v>
      </c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</row>
    <row r="122" spans="1:178" ht="20.25">
      <c r="A122">
        <v>235</v>
      </c>
      <c r="B122" s="54" t="s">
        <v>304</v>
      </c>
      <c r="C122" s="54"/>
      <c r="D122" s="54"/>
      <c r="E122" s="54"/>
      <c r="F122" s="54"/>
      <c r="G122" s="54"/>
      <c r="H122" s="54"/>
      <c r="I122" s="54"/>
      <c r="J122" s="54"/>
      <c r="K122" s="54">
        <v>1.9</v>
      </c>
      <c r="L122" s="54"/>
      <c r="M122" s="54"/>
      <c r="N122" s="54">
        <v>9.6</v>
      </c>
      <c r="O122" s="54"/>
      <c r="P122" s="54"/>
      <c r="Q122" s="54"/>
      <c r="R122" s="54"/>
      <c r="S122" s="54"/>
      <c r="T122" s="54"/>
      <c r="U122" s="54">
        <v>0.1</v>
      </c>
      <c r="V122" s="54"/>
      <c r="W122" s="54">
        <v>15.3</v>
      </c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 t="s">
        <v>516</v>
      </c>
      <c r="BP122" s="54">
        <v>60</v>
      </c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>
        <v>22.2</v>
      </c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</row>
    <row r="123" spans="1:178" ht="20.25">
      <c r="A123">
        <v>193</v>
      </c>
      <c r="B123" s="54" t="s">
        <v>262</v>
      </c>
      <c r="C123" s="54"/>
      <c r="D123" s="54"/>
      <c r="E123" s="54"/>
      <c r="F123" s="54"/>
      <c r="G123" s="54"/>
      <c r="H123" s="54"/>
      <c r="I123" s="54"/>
      <c r="J123" s="54">
        <v>24</v>
      </c>
      <c r="K123" s="54">
        <v>4.8</v>
      </c>
      <c r="L123" s="54"/>
      <c r="M123" s="54"/>
      <c r="N123" s="54">
        <v>0.9</v>
      </c>
      <c r="O123" s="54"/>
      <c r="P123" s="54"/>
      <c r="Q123" s="54"/>
      <c r="R123" s="54"/>
      <c r="S123" s="54"/>
      <c r="T123" s="54"/>
      <c r="U123" s="54">
        <v>0.5</v>
      </c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>
        <v>3</v>
      </c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>
        <v>12.6</v>
      </c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>
        <v>60</v>
      </c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>
        <v>24.3</v>
      </c>
      <c r="DS123" s="54">
        <v>13.2</v>
      </c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</row>
    <row r="124" spans="1:178" ht="20.25">
      <c r="A124">
        <v>233</v>
      </c>
      <c r="B124" s="54" t="s">
        <v>302</v>
      </c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>
        <v>7.2</v>
      </c>
      <c r="O124" s="54">
        <v>7.2</v>
      </c>
      <c r="P124" s="54"/>
      <c r="Q124" s="54"/>
      <c r="R124" s="54"/>
      <c r="S124" s="54"/>
      <c r="T124" s="54"/>
      <c r="U124" s="54">
        <v>0.2</v>
      </c>
      <c r="V124" s="54"/>
      <c r="W124" s="54">
        <v>36</v>
      </c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>
        <v>3</v>
      </c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>
        <v>0.9</v>
      </c>
      <c r="BP124" s="54">
        <v>60</v>
      </c>
      <c r="BQ124" s="54"/>
      <c r="BR124" s="54"/>
      <c r="BS124" s="54">
        <v>1.2</v>
      </c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</row>
    <row r="125" spans="1:178" ht="20.25">
      <c r="A125">
        <v>59</v>
      </c>
      <c r="B125" s="55" t="s">
        <v>351</v>
      </c>
      <c r="C125" s="55"/>
      <c r="D125" s="54"/>
      <c r="E125" s="54">
        <v>104</v>
      </c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>
        <v>0.1</v>
      </c>
      <c r="V125" s="54"/>
      <c r="W125" s="54">
        <v>7.7</v>
      </c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>
        <v>75</v>
      </c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</row>
    <row r="126" spans="1:178" ht="20.25">
      <c r="A126">
        <v>250</v>
      </c>
      <c r="B126" s="54" t="s">
        <v>405</v>
      </c>
      <c r="C126" s="54"/>
      <c r="D126" s="54">
        <v>48.3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>
        <v>2.5</v>
      </c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>
        <v>5.5</v>
      </c>
      <c r="AU126" s="54">
        <v>7</v>
      </c>
      <c r="AV126" s="54"/>
      <c r="AW126" s="54"/>
      <c r="AX126" s="54">
        <v>3</v>
      </c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>
        <v>100</v>
      </c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>
        <v>23.3</v>
      </c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</row>
    <row r="127" spans="1:178" ht="20.25">
      <c r="A127">
        <v>213</v>
      </c>
      <c r="B127" s="54" t="s">
        <v>283</v>
      </c>
      <c r="C127" s="54"/>
      <c r="D127" s="54"/>
      <c r="E127" s="54">
        <v>72.9</v>
      </c>
      <c r="F127" s="54"/>
      <c r="G127" s="54"/>
      <c r="H127" s="54"/>
      <c r="I127" s="54"/>
      <c r="J127" s="54"/>
      <c r="K127" s="54"/>
      <c r="L127" s="54"/>
      <c r="M127" s="54"/>
      <c r="N127" s="54">
        <v>5.4</v>
      </c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>
        <v>39.6</v>
      </c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>
        <v>9.9</v>
      </c>
      <c r="AU127" s="54">
        <v>12.6</v>
      </c>
      <c r="AV127" s="54"/>
      <c r="AW127" s="54"/>
      <c r="AX127" s="54">
        <v>6.3</v>
      </c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>
        <v>180</v>
      </c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</row>
    <row r="128" spans="1:178" ht="20.25">
      <c r="A128">
        <v>78</v>
      </c>
      <c r="B128" s="54" t="s">
        <v>366</v>
      </c>
      <c r="C128" s="54"/>
      <c r="D128" s="54"/>
      <c r="E128" s="54"/>
      <c r="F128" s="54"/>
      <c r="G128" s="54"/>
      <c r="H128" s="54"/>
      <c r="I128" s="54"/>
      <c r="J128" s="54"/>
      <c r="K128" s="54">
        <v>5.3</v>
      </c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>
        <v>30</v>
      </c>
      <c r="AD128" s="54"/>
      <c r="AE128" s="54"/>
      <c r="AF128" s="54"/>
      <c r="AG128" s="54"/>
      <c r="AH128" s="54">
        <v>5.3</v>
      </c>
      <c r="AI128" s="54"/>
      <c r="AJ128" s="54"/>
      <c r="AK128" s="54"/>
      <c r="AL128" s="54"/>
      <c r="AM128" s="54"/>
      <c r="AN128" s="54">
        <v>7.5</v>
      </c>
      <c r="AO128" s="54"/>
      <c r="AP128" s="54"/>
      <c r="AQ128" s="54">
        <v>27</v>
      </c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>
        <v>150</v>
      </c>
      <c r="BQ128" s="54"/>
      <c r="BR128" s="54"/>
      <c r="BS128" s="54"/>
      <c r="BT128" s="54"/>
      <c r="BU128" s="54"/>
      <c r="BV128" s="54"/>
      <c r="BW128" s="54"/>
      <c r="BX128" s="54">
        <v>11.3</v>
      </c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</row>
    <row r="129" spans="1:178" ht="20.25">
      <c r="A129">
        <v>40</v>
      </c>
      <c r="B129" s="54" t="s">
        <v>336</v>
      </c>
      <c r="C129" s="54"/>
      <c r="D129" s="54"/>
      <c r="E129" s="54"/>
      <c r="F129" s="54"/>
      <c r="G129" s="54"/>
      <c r="H129" s="54"/>
      <c r="I129" s="54"/>
      <c r="J129" s="54"/>
      <c r="K129" s="54">
        <v>3</v>
      </c>
      <c r="L129" s="54"/>
      <c r="M129" s="54"/>
      <c r="N129" s="54"/>
      <c r="O129" s="54">
        <v>46.5</v>
      </c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>
        <v>35.6</v>
      </c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>
        <v>150</v>
      </c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</row>
    <row r="130" spans="1:178" ht="20.25">
      <c r="A130">
        <v>38</v>
      </c>
      <c r="B130" s="55" t="s">
        <v>334</v>
      </c>
      <c r="C130" s="55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>
        <v>5</v>
      </c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>
        <v>3</v>
      </c>
      <c r="AI130" s="54"/>
      <c r="AJ130" s="54"/>
      <c r="AK130" s="54"/>
      <c r="AL130" s="54"/>
      <c r="AM130" s="54"/>
      <c r="AN130" s="54"/>
      <c r="AO130" s="54"/>
      <c r="AP130" s="54"/>
      <c r="AQ130" s="54"/>
      <c r="AR130" s="54">
        <v>66.5</v>
      </c>
      <c r="AS130" s="54"/>
      <c r="AT130" s="54">
        <v>12</v>
      </c>
      <c r="AU130" s="54">
        <v>12.8</v>
      </c>
      <c r="AV130" s="54"/>
      <c r="AW130" s="54"/>
      <c r="AX130" s="54">
        <v>11.5</v>
      </c>
      <c r="AY130" s="54"/>
      <c r="AZ130" s="54">
        <v>51</v>
      </c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>
        <v>250</v>
      </c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>
        <v>22.5</v>
      </c>
      <c r="DI130" s="54">
        <v>0.5</v>
      </c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</row>
    <row r="131" spans="1:178" ht="20.25">
      <c r="A131">
        <v>45</v>
      </c>
      <c r="B131" s="55" t="s">
        <v>145</v>
      </c>
      <c r="C131" s="54"/>
      <c r="D131" s="54"/>
      <c r="E131" s="54"/>
      <c r="F131" s="54"/>
      <c r="G131" s="54"/>
      <c r="H131" s="54"/>
      <c r="I131" s="54"/>
      <c r="J131" s="54"/>
      <c r="K131" s="54">
        <v>4</v>
      </c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>
        <v>47.9</v>
      </c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>
        <v>44</v>
      </c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>
        <v>150</v>
      </c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</row>
    <row r="132" spans="1:178" ht="20.25">
      <c r="A132">
        <v>190</v>
      </c>
      <c r="B132" s="54" t="s">
        <v>145</v>
      </c>
      <c r="C132" s="54"/>
      <c r="D132" s="54"/>
      <c r="E132" s="54"/>
      <c r="F132" s="54"/>
      <c r="G132" s="54"/>
      <c r="H132" s="54"/>
      <c r="I132" s="54"/>
      <c r="J132" s="54"/>
      <c r="K132" s="54">
        <v>2.4</v>
      </c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>
        <v>37.9</v>
      </c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>
        <v>35.1</v>
      </c>
      <c r="AW132" s="54"/>
      <c r="AX132" s="54"/>
      <c r="AY132" s="54"/>
      <c r="AZ132" s="54"/>
      <c r="BA132" s="54">
        <v>2.4</v>
      </c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>
        <v>120</v>
      </c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>
        <v>0.2</v>
      </c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</row>
    <row r="133" spans="1:178" ht="20.25">
      <c r="A133">
        <v>46</v>
      </c>
      <c r="B133" s="55" t="s">
        <v>341</v>
      </c>
      <c r="C133" s="55"/>
      <c r="D133" s="54"/>
      <c r="E133" s="54"/>
      <c r="F133" s="54"/>
      <c r="G133" s="54"/>
      <c r="H133" s="54"/>
      <c r="I133" s="54"/>
      <c r="J133" s="54"/>
      <c r="K133" s="54">
        <v>8</v>
      </c>
      <c r="L133" s="54"/>
      <c r="M133" s="54"/>
      <c r="N133" s="54"/>
      <c r="O133" s="54">
        <v>15</v>
      </c>
      <c r="P133" s="54"/>
      <c r="Q133" s="54"/>
      <c r="R133" s="54"/>
      <c r="S133" s="54"/>
      <c r="T133" s="54"/>
      <c r="U133" s="54"/>
      <c r="V133" s="54"/>
      <c r="W133" s="54">
        <v>1.7</v>
      </c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>
        <v>5</v>
      </c>
      <c r="AI133" s="54"/>
      <c r="AJ133" s="54"/>
      <c r="AK133" s="54"/>
      <c r="AL133" s="54"/>
      <c r="AM133" s="54"/>
      <c r="AN133" s="54"/>
      <c r="AO133" s="54"/>
      <c r="AP133" s="54"/>
      <c r="AQ133" s="54">
        <v>43</v>
      </c>
      <c r="AR133" s="54"/>
      <c r="AS133" s="54"/>
      <c r="AT133" s="54"/>
      <c r="AU133" s="54"/>
      <c r="AV133" s="54"/>
      <c r="AW133" s="54"/>
      <c r="AX133" s="54"/>
      <c r="AY133" s="54"/>
      <c r="AZ133" s="54">
        <v>134</v>
      </c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>
        <v>150</v>
      </c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</row>
    <row r="134" spans="1:178" ht="20.25">
      <c r="A134">
        <v>41</v>
      </c>
      <c r="B134" s="55" t="s">
        <v>337</v>
      </c>
      <c r="C134" s="54"/>
      <c r="D134" s="54"/>
      <c r="E134" s="54"/>
      <c r="F134" s="54"/>
      <c r="G134" s="54"/>
      <c r="H134" s="54"/>
      <c r="I134" s="54"/>
      <c r="J134" s="54"/>
      <c r="K134" s="54">
        <v>4</v>
      </c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>
        <v>133.3</v>
      </c>
      <c r="AS134" s="54"/>
      <c r="AT134" s="54"/>
      <c r="AU134" s="54">
        <v>121.9</v>
      </c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>
        <v>200</v>
      </c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</row>
    <row r="135" spans="1:178" ht="20.25">
      <c r="A135">
        <v>112</v>
      </c>
      <c r="B135" s="55" t="s">
        <v>396</v>
      </c>
      <c r="C135" s="55"/>
      <c r="D135" s="54"/>
      <c r="E135" s="54"/>
      <c r="F135" s="54"/>
      <c r="G135" s="54"/>
      <c r="H135" s="54"/>
      <c r="I135" s="54"/>
      <c r="J135" s="54"/>
      <c r="K135" s="54">
        <v>4</v>
      </c>
      <c r="L135" s="54"/>
      <c r="M135" s="54"/>
      <c r="N135" s="54">
        <v>3.75</v>
      </c>
      <c r="O135" s="54"/>
      <c r="P135" s="54"/>
      <c r="Q135" s="54"/>
      <c r="R135" s="54"/>
      <c r="S135" s="54"/>
      <c r="T135" s="54"/>
      <c r="U135" s="54">
        <v>0.2</v>
      </c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>
        <v>38.55</v>
      </c>
      <c r="AT135" s="54"/>
      <c r="AU135" s="54">
        <v>121.9</v>
      </c>
      <c r="AV135" s="54"/>
      <c r="AW135" s="54"/>
      <c r="AX135" s="54"/>
      <c r="AY135" s="54">
        <v>2.33</v>
      </c>
      <c r="AZ135" s="54"/>
      <c r="BA135" s="54">
        <v>0.4</v>
      </c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>
        <v>75</v>
      </c>
      <c r="BQ135" s="54"/>
      <c r="BR135" s="54"/>
      <c r="BS135" s="54"/>
      <c r="BT135" s="54"/>
      <c r="BU135" s="54"/>
      <c r="BV135" s="54"/>
      <c r="BW135" s="54"/>
      <c r="BX135" s="54"/>
      <c r="BY135" s="54"/>
      <c r="BZ135" s="54">
        <v>21.6</v>
      </c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</row>
    <row r="136" spans="1:178" ht="20.25">
      <c r="A136">
        <v>79</v>
      </c>
      <c r="B136" s="55" t="s">
        <v>367</v>
      </c>
      <c r="C136" s="55"/>
      <c r="D136" s="54"/>
      <c r="E136" s="54">
        <v>62.5</v>
      </c>
      <c r="F136" s="54"/>
      <c r="G136" s="54">
        <v>88.9</v>
      </c>
      <c r="H136" s="54"/>
      <c r="I136" s="54"/>
      <c r="J136" s="54"/>
      <c r="K136" s="54"/>
      <c r="L136" s="54"/>
      <c r="M136" s="54"/>
      <c r="N136" s="54">
        <v>5</v>
      </c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>
        <v>31.6</v>
      </c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>
        <v>150</v>
      </c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</row>
    <row r="137" spans="1:178" ht="20.25">
      <c r="A137">
        <v>73</v>
      </c>
      <c r="B137" s="55" t="s">
        <v>361</v>
      </c>
      <c r="C137" s="55"/>
      <c r="D137" s="54"/>
      <c r="E137" s="54"/>
      <c r="F137" s="54"/>
      <c r="G137" s="54"/>
      <c r="H137" s="54"/>
      <c r="I137" s="54">
        <v>118</v>
      </c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>
        <v>9.2</v>
      </c>
      <c r="AU137" s="54">
        <v>11.1</v>
      </c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>
        <v>75</v>
      </c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</row>
    <row r="138" spans="1:178" ht="20.25">
      <c r="A138" s="97">
        <v>202</v>
      </c>
      <c r="B138" s="54" t="s">
        <v>272</v>
      </c>
      <c r="C138" s="54"/>
      <c r="D138" s="54"/>
      <c r="E138" s="54"/>
      <c r="F138" s="54"/>
      <c r="G138" s="54"/>
      <c r="H138" s="54"/>
      <c r="I138" s="54">
        <v>66.9</v>
      </c>
      <c r="J138" s="54"/>
      <c r="K138" s="54">
        <v>2.4</v>
      </c>
      <c r="L138" s="54"/>
      <c r="M138" s="54"/>
      <c r="N138" s="54">
        <v>28</v>
      </c>
      <c r="O138" s="54"/>
      <c r="P138" s="54"/>
      <c r="Q138" s="54"/>
      <c r="R138" s="54"/>
      <c r="S138" s="54"/>
      <c r="T138" s="54"/>
      <c r="U138" s="54"/>
      <c r="V138" s="54"/>
      <c r="W138" s="54">
        <v>20.6</v>
      </c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>
        <v>7.2</v>
      </c>
      <c r="AU138" s="54">
        <v>8.1</v>
      </c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>
        <v>60</v>
      </c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</row>
    <row r="139" spans="1:178" ht="20.25">
      <c r="A139">
        <v>199</v>
      </c>
      <c r="B139" s="54" t="s">
        <v>269</v>
      </c>
      <c r="C139" s="54"/>
      <c r="D139" s="54"/>
      <c r="E139" s="54"/>
      <c r="F139" s="54"/>
      <c r="G139" s="54"/>
      <c r="H139" s="54"/>
      <c r="I139" s="54">
        <v>111.5</v>
      </c>
      <c r="J139" s="54"/>
      <c r="K139" s="54"/>
      <c r="L139" s="54"/>
      <c r="M139" s="54"/>
      <c r="N139" s="54">
        <v>3</v>
      </c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>
        <v>18</v>
      </c>
      <c r="AU139" s="54">
        <v>20</v>
      </c>
      <c r="AV139" s="54"/>
      <c r="AW139" s="54"/>
      <c r="AX139" s="54">
        <v>3</v>
      </c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>
        <v>100</v>
      </c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</row>
    <row r="140" spans="1:178" ht="20.25">
      <c r="A140">
        <v>196</v>
      </c>
      <c r="B140" s="54" t="s">
        <v>267</v>
      </c>
      <c r="C140" s="54"/>
      <c r="D140" s="54"/>
      <c r="E140" s="54"/>
      <c r="F140" s="54"/>
      <c r="G140" s="54"/>
      <c r="H140" s="54"/>
      <c r="I140" s="54">
        <v>66.8</v>
      </c>
      <c r="J140" s="54"/>
      <c r="K140" s="54"/>
      <c r="L140" s="54"/>
      <c r="M140" s="54"/>
      <c r="N140" s="54">
        <v>4.5</v>
      </c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>
        <v>120</v>
      </c>
      <c r="AS140" s="54"/>
      <c r="AT140" s="54">
        <v>14.4</v>
      </c>
      <c r="AU140" s="54">
        <v>16.2</v>
      </c>
      <c r="AV140" s="54"/>
      <c r="AW140" s="54"/>
      <c r="AX140" s="54">
        <v>3</v>
      </c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>
        <v>150</v>
      </c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>
        <v>0.5</v>
      </c>
      <c r="DA140" s="54">
        <v>0.2</v>
      </c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</row>
    <row r="141" spans="1:178" ht="20.25">
      <c r="A141">
        <v>201</v>
      </c>
      <c r="B141" s="54" t="s">
        <v>271</v>
      </c>
      <c r="C141" s="54"/>
      <c r="D141" s="54"/>
      <c r="E141" s="54"/>
      <c r="F141" s="54"/>
      <c r="G141" s="54"/>
      <c r="H141" s="54"/>
      <c r="I141" s="54">
        <v>66.9</v>
      </c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>
        <v>0.1</v>
      </c>
      <c r="V141" s="54"/>
      <c r="W141" s="54"/>
      <c r="X141" s="54">
        <v>1.5</v>
      </c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>
        <v>12</v>
      </c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>
        <v>60</v>
      </c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</row>
    <row r="142" spans="1:178" ht="20.25">
      <c r="A142">
        <v>203</v>
      </c>
      <c r="B142" s="54" t="s">
        <v>273</v>
      </c>
      <c r="C142" s="54"/>
      <c r="D142" s="54"/>
      <c r="E142" s="54"/>
      <c r="F142" s="54"/>
      <c r="G142" s="54"/>
      <c r="H142" s="54"/>
      <c r="I142" s="54">
        <v>66.5</v>
      </c>
      <c r="J142" s="54"/>
      <c r="K142" s="54"/>
      <c r="L142" s="54"/>
      <c r="M142" s="54"/>
      <c r="N142" s="54">
        <v>1.4</v>
      </c>
      <c r="O142" s="54"/>
      <c r="P142" s="54"/>
      <c r="Q142" s="54"/>
      <c r="R142" s="54"/>
      <c r="S142" s="54"/>
      <c r="T142" s="54"/>
      <c r="U142" s="54">
        <v>0.1</v>
      </c>
      <c r="V142" s="54"/>
      <c r="W142" s="54">
        <v>5.6</v>
      </c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>
        <v>17.5</v>
      </c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>
        <v>70</v>
      </c>
      <c r="BQ142" s="54"/>
      <c r="BR142" s="54"/>
      <c r="BS142" s="54"/>
      <c r="BT142" s="54">
        <v>8.4</v>
      </c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</row>
    <row r="143" spans="1:178" ht="20.25">
      <c r="A143">
        <v>200</v>
      </c>
      <c r="B143" s="54" t="s">
        <v>270</v>
      </c>
      <c r="C143" s="54"/>
      <c r="D143" s="54"/>
      <c r="E143" s="54"/>
      <c r="F143" s="54"/>
      <c r="G143" s="54"/>
      <c r="H143" s="54"/>
      <c r="I143" s="54">
        <v>66.5</v>
      </c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>
        <v>5.6</v>
      </c>
      <c r="V143" s="54"/>
      <c r="W143" s="54">
        <v>6</v>
      </c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>
        <v>70</v>
      </c>
      <c r="BQ143" s="54"/>
      <c r="BR143" s="54"/>
      <c r="BS143" s="54"/>
      <c r="BT143" s="54">
        <v>14</v>
      </c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</row>
    <row r="144" spans="1:178" ht="20.25">
      <c r="A144">
        <v>198</v>
      </c>
      <c r="B144" s="54" t="s">
        <v>268</v>
      </c>
      <c r="C144" s="54"/>
      <c r="D144" s="54"/>
      <c r="E144" s="54"/>
      <c r="F144" s="54"/>
      <c r="G144" s="54"/>
      <c r="H144" s="54"/>
      <c r="I144" s="54">
        <v>81.6</v>
      </c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>
        <v>0.1</v>
      </c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>
        <v>14.28</v>
      </c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>
        <v>60</v>
      </c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</row>
    <row r="145" spans="1:178" ht="20.25">
      <c r="A145">
        <v>168</v>
      </c>
      <c r="B145" s="54" t="s">
        <v>231</v>
      </c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>
        <v>3.6</v>
      </c>
      <c r="O145" s="54"/>
      <c r="P145" s="54"/>
      <c r="Q145" s="54"/>
      <c r="R145" s="54"/>
      <c r="S145" s="54"/>
      <c r="T145" s="54">
        <v>9</v>
      </c>
      <c r="U145" s="54"/>
      <c r="V145" s="54"/>
      <c r="W145" s="54"/>
      <c r="X145" s="54"/>
      <c r="Y145" s="54"/>
      <c r="Z145" s="54"/>
      <c r="AA145" s="54"/>
      <c r="AB145" s="54"/>
      <c r="AC145" s="54">
        <v>21</v>
      </c>
      <c r="AD145" s="54"/>
      <c r="AE145" s="54"/>
      <c r="AF145" s="54"/>
      <c r="AG145" s="54">
        <v>6</v>
      </c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>
        <v>10.4</v>
      </c>
      <c r="AU145" s="54">
        <v>18.5</v>
      </c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>
        <v>120</v>
      </c>
      <c r="BQ145" s="54"/>
      <c r="BR145" s="54">
        <v>12</v>
      </c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>
        <v>1.8</v>
      </c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>
        <v>0.1</v>
      </c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</row>
    <row r="146" spans="1:178" ht="20.25">
      <c r="A146">
        <v>183</v>
      </c>
      <c r="B146" s="54" t="s">
        <v>249</v>
      </c>
      <c r="C146" s="54"/>
      <c r="D146" s="54"/>
      <c r="E146" s="54"/>
      <c r="F146" s="54"/>
      <c r="G146" s="54"/>
      <c r="H146" s="54"/>
      <c r="I146" s="54"/>
      <c r="J146" s="54"/>
      <c r="K146" s="54">
        <v>3</v>
      </c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>
        <v>42.8</v>
      </c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>
        <v>120</v>
      </c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>
        <v>0.6</v>
      </c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</row>
    <row r="147" spans="1:178" ht="20.25">
      <c r="A147">
        <v>178</v>
      </c>
      <c r="B147" s="54" t="s">
        <v>242</v>
      </c>
      <c r="C147" s="54"/>
      <c r="D147" s="54"/>
      <c r="E147" s="54"/>
      <c r="F147" s="54"/>
      <c r="G147" s="54"/>
      <c r="H147" s="54"/>
      <c r="I147" s="54"/>
      <c r="J147" s="54"/>
      <c r="K147" s="54">
        <v>3</v>
      </c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>
        <v>43.4</v>
      </c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>
        <v>120</v>
      </c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>
        <v>0.6</v>
      </c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</row>
    <row r="148" spans="1:178" ht="20.25">
      <c r="A148">
        <v>86</v>
      </c>
      <c r="B148" s="55" t="s">
        <v>491</v>
      </c>
      <c r="C148" s="55"/>
      <c r="D148" s="54"/>
      <c r="E148" s="54">
        <v>37.5</v>
      </c>
      <c r="F148" s="54"/>
      <c r="G148" s="54"/>
      <c r="H148" s="54"/>
      <c r="I148" s="54"/>
      <c r="J148" s="54"/>
      <c r="K148" s="54"/>
      <c r="L148" s="54"/>
      <c r="M148" s="54"/>
      <c r="N148" s="54">
        <v>3</v>
      </c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>
        <v>45.9</v>
      </c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>
        <v>26.3</v>
      </c>
      <c r="AU148" s="54">
        <v>18.8</v>
      </c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5"/>
      <c r="BO148" s="54"/>
      <c r="BP148" s="55">
        <v>100</v>
      </c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</row>
    <row r="149" spans="1:178" ht="20.25">
      <c r="A149" s="97">
        <v>9</v>
      </c>
      <c r="B149" s="55" t="s">
        <v>134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>
        <v>3.8</v>
      </c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>
        <v>89.1</v>
      </c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>
        <v>75</v>
      </c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</row>
    <row r="150" spans="1:178" ht="20.25">
      <c r="A150">
        <v>6</v>
      </c>
      <c r="B150" s="55" t="s">
        <v>131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>
        <v>3.8</v>
      </c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>
        <v>19.9</v>
      </c>
      <c r="AS150" s="54"/>
      <c r="AT150" s="54"/>
      <c r="AU150" s="54"/>
      <c r="AV150" s="54">
        <v>20.4</v>
      </c>
      <c r="AW150" s="54"/>
      <c r="AX150" s="54"/>
      <c r="AY150" s="54"/>
      <c r="AZ150" s="54">
        <v>59.9</v>
      </c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>
        <v>75</v>
      </c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</row>
    <row r="151" spans="1:178" ht="20.25">
      <c r="A151">
        <v>120</v>
      </c>
      <c r="B151" s="54" t="s">
        <v>161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>
        <v>7.5</v>
      </c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>
        <v>2.3</v>
      </c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>
        <v>73.5</v>
      </c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>
        <v>75</v>
      </c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>
        <v>3.8</v>
      </c>
      <c r="CK151" s="54">
        <v>15</v>
      </c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</row>
    <row r="152" spans="1:178" ht="20.25">
      <c r="A152">
        <v>125</v>
      </c>
      <c r="B152" s="54" t="s">
        <v>169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>
        <v>2.3</v>
      </c>
      <c r="O152" s="54"/>
      <c r="P152" s="54"/>
      <c r="Q152" s="54"/>
      <c r="R152" s="54"/>
      <c r="S152" s="54"/>
      <c r="T152" s="54">
        <v>7.5</v>
      </c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>
        <v>33.8</v>
      </c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>
        <v>99</v>
      </c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>
        <v>75</v>
      </c>
      <c r="BQ152" s="54"/>
      <c r="BR152" s="54"/>
      <c r="BS152" s="54">
        <v>0.8</v>
      </c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</row>
    <row r="153" spans="1:178" ht="20.25">
      <c r="A153">
        <v>19</v>
      </c>
      <c r="B153" s="55" t="s">
        <v>317</v>
      </c>
      <c r="C153" s="55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>
        <v>3.8</v>
      </c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>
        <v>3</v>
      </c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>
        <v>90.8</v>
      </c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>
        <v>75</v>
      </c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</row>
    <row r="154" spans="1:178" ht="20.25">
      <c r="A154">
        <v>18</v>
      </c>
      <c r="B154" s="55" t="s">
        <v>140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>
        <v>3.8</v>
      </c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>
        <v>11</v>
      </c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>
        <v>86.7</v>
      </c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>
        <v>75</v>
      </c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</row>
    <row r="155" spans="1:178" ht="20.25">
      <c r="A155">
        <v>7</v>
      </c>
      <c r="B155" s="55" t="s">
        <v>132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>
        <v>3.8</v>
      </c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>
        <v>82</v>
      </c>
      <c r="BA155" s="54"/>
      <c r="BB155" s="54">
        <v>15.3</v>
      </c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>
        <v>75</v>
      </c>
      <c r="BQ155" s="54">
        <v>50</v>
      </c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</row>
    <row r="156" spans="1:178" ht="20.25">
      <c r="A156">
        <v>119</v>
      </c>
      <c r="B156" s="54" t="s">
        <v>160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>
        <v>7.5</v>
      </c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>
        <v>1.5</v>
      </c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>
        <v>85.1</v>
      </c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>
        <v>75</v>
      </c>
      <c r="BQ156" s="54"/>
      <c r="BR156" s="54"/>
      <c r="BS156" s="54"/>
      <c r="BT156" s="54"/>
      <c r="BU156" s="54"/>
      <c r="BV156" s="54"/>
      <c r="BW156" s="54"/>
      <c r="BX156" s="54">
        <v>3.8</v>
      </c>
      <c r="BY156" s="54"/>
      <c r="BZ156" s="55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</row>
    <row r="157" spans="1:178" ht="20.25">
      <c r="A157">
        <v>122</v>
      </c>
      <c r="B157" s="54" t="s">
        <v>503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>
        <v>2.3</v>
      </c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>
        <v>73.5</v>
      </c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>
        <v>75</v>
      </c>
      <c r="BQ157" s="54"/>
      <c r="BR157" s="54">
        <v>12.4</v>
      </c>
      <c r="BS157" s="54">
        <v>0.4</v>
      </c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>
        <v>11.3</v>
      </c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</row>
    <row r="158" spans="1:178" ht="20.25">
      <c r="A158">
        <v>123</v>
      </c>
      <c r="B158" s="54" t="s">
        <v>139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>
        <v>3.8</v>
      </c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>
        <v>29.8</v>
      </c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>
        <v>69.7</v>
      </c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>
        <v>75</v>
      </c>
      <c r="BQ158" s="54"/>
      <c r="BR158" s="54"/>
      <c r="BS158" s="54">
        <v>0.8</v>
      </c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</row>
    <row r="159" spans="1:178" ht="20.25">
      <c r="A159">
        <v>139</v>
      </c>
      <c r="B159" s="54" t="s">
        <v>190</v>
      </c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>
        <v>3</v>
      </c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>
        <v>24.5</v>
      </c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>
        <v>25</v>
      </c>
      <c r="AV159" s="54"/>
      <c r="AW159" s="54"/>
      <c r="AX159" s="54"/>
      <c r="AY159" s="54"/>
      <c r="AZ159" s="54">
        <v>30</v>
      </c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>
        <v>100</v>
      </c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</row>
    <row r="160" spans="1:178" ht="20.25">
      <c r="A160">
        <v>131</v>
      </c>
      <c r="B160" s="54" t="s">
        <v>177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>
        <v>3</v>
      </c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>
        <v>87</v>
      </c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>
        <v>100</v>
      </c>
      <c r="BQ160" s="54"/>
      <c r="BR160" s="54"/>
      <c r="BS160" s="54">
        <v>1</v>
      </c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>
        <v>57</v>
      </c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</row>
    <row r="161" spans="1:178" ht="20.25">
      <c r="A161">
        <v>8</v>
      </c>
      <c r="B161" s="55" t="s">
        <v>133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>
        <v>3.8</v>
      </c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>
        <v>93</v>
      </c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>
        <v>75</v>
      </c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</row>
    <row r="162" spans="1:178" ht="20.25">
      <c r="A162">
        <v>134</v>
      </c>
      <c r="B162" s="54" t="s">
        <v>182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>
        <v>1.8</v>
      </c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>
        <v>5</v>
      </c>
      <c r="AO162" s="54"/>
      <c r="AP162" s="54"/>
      <c r="AQ162" s="54"/>
      <c r="AR162" s="54"/>
      <c r="AS162" s="54">
        <v>69</v>
      </c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>
        <v>50</v>
      </c>
      <c r="BQ162" s="54"/>
      <c r="BR162" s="54"/>
      <c r="BS162" s="54">
        <v>0.5</v>
      </c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>
        <v>0.1</v>
      </c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</row>
    <row r="163" spans="1:178" ht="20.25">
      <c r="A163">
        <v>10</v>
      </c>
      <c r="B163" s="55" t="s">
        <v>135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>
        <v>3.8</v>
      </c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>
        <v>78</v>
      </c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>
        <v>2.7</v>
      </c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>
        <v>75</v>
      </c>
      <c r="BQ163" s="54"/>
      <c r="BR163" s="54">
        <v>7</v>
      </c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</row>
    <row r="164" spans="1:178" ht="20.25">
      <c r="A164">
        <v>16</v>
      </c>
      <c r="B164" s="55" t="s">
        <v>201</v>
      </c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>
        <v>3.8</v>
      </c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>
        <v>84.4</v>
      </c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>
        <v>3.9</v>
      </c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>
        <v>75</v>
      </c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</row>
    <row r="165" spans="1:178" ht="20.25">
      <c r="A165">
        <v>118</v>
      </c>
      <c r="B165" s="55" t="s">
        <v>159</v>
      </c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>
        <v>3.8</v>
      </c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>
        <v>77.8</v>
      </c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>
        <v>2.7</v>
      </c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4">
        <v>75</v>
      </c>
      <c r="BQ165" s="55"/>
      <c r="BR165" s="55">
        <v>6.9</v>
      </c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</row>
    <row r="166" spans="1:178" ht="20.25">
      <c r="A166">
        <v>143</v>
      </c>
      <c r="B166" s="54" t="s">
        <v>194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>
        <v>1.7</v>
      </c>
      <c r="M166" s="54"/>
      <c r="N166" s="54">
        <v>3.8</v>
      </c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>
        <v>33.8</v>
      </c>
      <c r="AT166" s="54"/>
      <c r="AU166" s="54">
        <v>10</v>
      </c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>
        <v>50</v>
      </c>
      <c r="BQ166" s="54"/>
      <c r="BR166" s="54">
        <v>11</v>
      </c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</row>
    <row r="167" spans="1:178" ht="20.25">
      <c r="A167">
        <v>149</v>
      </c>
      <c r="B167" s="54" t="s">
        <v>199</v>
      </c>
      <c r="C167" s="54"/>
      <c r="D167" s="54"/>
      <c r="E167" s="54"/>
      <c r="F167" s="54"/>
      <c r="G167" s="54"/>
      <c r="H167" s="54"/>
      <c r="I167" s="54"/>
      <c r="J167" s="54"/>
      <c r="K167" s="54"/>
      <c r="L167" s="54">
        <v>1.7</v>
      </c>
      <c r="M167" s="54"/>
      <c r="N167" s="54">
        <v>3.8</v>
      </c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>
        <v>37.5</v>
      </c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>
        <v>50</v>
      </c>
      <c r="BQ167" s="54"/>
      <c r="BR167" s="54"/>
      <c r="BS167" s="54"/>
      <c r="BT167" s="54"/>
      <c r="BU167" s="54"/>
      <c r="BV167" s="54"/>
      <c r="BW167" s="54"/>
      <c r="BX167" s="54"/>
      <c r="BY167" s="54"/>
      <c r="BZ167" s="54">
        <v>20.6</v>
      </c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>
        <v>1.4</v>
      </c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</row>
    <row r="168" spans="1:178" ht="20.25">
      <c r="A168">
        <v>152</v>
      </c>
      <c r="B168" s="54" t="s">
        <v>206</v>
      </c>
      <c r="C168" s="54"/>
      <c r="D168" s="54"/>
      <c r="E168" s="54"/>
      <c r="F168" s="54"/>
      <c r="G168" s="54"/>
      <c r="H168" s="54"/>
      <c r="I168" s="54"/>
      <c r="J168" s="54"/>
      <c r="K168" s="54"/>
      <c r="L168" s="54">
        <v>1.7</v>
      </c>
      <c r="M168" s="54"/>
      <c r="N168" s="54">
        <v>1.5</v>
      </c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>
        <v>43.8</v>
      </c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>
        <v>50</v>
      </c>
      <c r="BQ168" s="54"/>
      <c r="BR168" s="54"/>
      <c r="BS168" s="54"/>
      <c r="BT168" s="54"/>
      <c r="BU168" s="54"/>
      <c r="BV168" s="54"/>
      <c r="BW168" s="54"/>
      <c r="BX168" s="54"/>
      <c r="BY168" s="54"/>
      <c r="BZ168" s="54">
        <v>15.6</v>
      </c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>
        <v>1</v>
      </c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</row>
    <row r="169" spans="1:178" ht="20.25">
      <c r="A169">
        <v>150</v>
      </c>
      <c r="B169" s="54" t="s">
        <v>202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4">
        <v>1.7</v>
      </c>
      <c r="M169" s="54"/>
      <c r="N169" s="54">
        <v>3.8</v>
      </c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>
        <v>11.8</v>
      </c>
      <c r="AH169" s="54"/>
      <c r="AI169" s="54"/>
      <c r="AJ169" s="54"/>
      <c r="AK169" s="54"/>
      <c r="AL169" s="54"/>
      <c r="AM169" s="54"/>
      <c r="AN169" s="54"/>
      <c r="AO169" s="54"/>
      <c r="AP169" s="54"/>
      <c r="AQ169" s="54">
        <v>22.5</v>
      </c>
      <c r="AR169" s="54"/>
      <c r="AS169" s="54">
        <v>31.3</v>
      </c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>
        <v>50</v>
      </c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</row>
    <row r="170" spans="1:178" ht="20.25">
      <c r="A170">
        <v>126</v>
      </c>
      <c r="B170" s="54" t="s">
        <v>170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>
        <v>2.3</v>
      </c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>
        <v>57</v>
      </c>
      <c r="AT170" s="54"/>
      <c r="AU170" s="54">
        <v>30</v>
      </c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>
        <v>75</v>
      </c>
      <c r="BQ170" s="54"/>
      <c r="BR170" s="54"/>
      <c r="BS170" s="54">
        <v>0.8</v>
      </c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</row>
    <row r="171" spans="1:178" ht="20.25">
      <c r="A171">
        <v>155</v>
      </c>
      <c r="B171" s="54" t="s">
        <v>212</v>
      </c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>
        <v>6</v>
      </c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>
        <v>41.9</v>
      </c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>
        <v>50</v>
      </c>
      <c r="BQ171" s="54"/>
      <c r="BR171" s="54"/>
      <c r="BS171" s="54"/>
      <c r="BT171" s="54"/>
      <c r="BU171" s="54"/>
      <c r="BV171" s="54"/>
      <c r="BW171" s="54"/>
      <c r="BX171" s="54"/>
      <c r="BY171" s="54"/>
      <c r="BZ171" s="54">
        <v>11.8</v>
      </c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>
        <v>1.2</v>
      </c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</row>
    <row r="172" spans="1:178" ht="20.25">
      <c r="A172">
        <v>137</v>
      </c>
      <c r="B172" s="54" t="s">
        <v>186</v>
      </c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>
        <v>10</v>
      </c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>
        <v>47.5</v>
      </c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>
        <v>50</v>
      </c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>
        <v>2.5</v>
      </c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</row>
    <row r="173" spans="1:178" ht="20.25">
      <c r="A173">
        <v>128</v>
      </c>
      <c r="B173" s="54" t="s">
        <v>172</v>
      </c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>
        <v>2.3</v>
      </c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>
        <v>26.3</v>
      </c>
      <c r="AT173" s="54"/>
      <c r="AU173" s="54">
        <v>27.8</v>
      </c>
      <c r="AV173" s="54"/>
      <c r="AW173" s="54">
        <v>34.5</v>
      </c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>
        <v>75</v>
      </c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>
        <v>2.3</v>
      </c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</row>
    <row r="174" spans="1:178" ht="20.25">
      <c r="A174">
        <v>153</v>
      </c>
      <c r="B174" s="54" t="s">
        <v>208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>
        <v>1.5</v>
      </c>
      <c r="O174" s="54"/>
      <c r="P174" s="54"/>
      <c r="Q174" s="54"/>
      <c r="R174" s="54"/>
      <c r="S174" s="54">
        <v>36</v>
      </c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>
        <v>50</v>
      </c>
      <c r="BQ174" s="54"/>
      <c r="BR174" s="54"/>
      <c r="BS174" s="54"/>
      <c r="BT174" s="54"/>
      <c r="BU174" s="54"/>
      <c r="BV174" s="54"/>
      <c r="BW174" s="54"/>
      <c r="BX174" s="54"/>
      <c r="BY174" s="54">
        <v>13.3</v>
      </c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>
        <v>2</v>
      </c>
      <c r="CW174" s="54"/>
      <c r="CX174" s="54">
        <v>1.9</v>
      </c>
      <c r="CY174" s="54"/>
      <c r="CZ174" s="54">
        <v>0.2</v>
      </c>
      <c r="DA174" s="54">
        <v>0.1</v>
      </c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</row>
    <row r="175" spans="1:178" ht="20.25">
      <c r="A175">
        <v>25</v>
      </c>
      <c r="B175" s="55" t="s">
        <v>323</v>
      </c>
      <c r="C175" s="55"/>
      <c r="D175" s="54"/>
      <c r="E175" s="54"/>
      <c r="F175" s="54"/>
      <c r="G175" s="54"/>
      <c r="H175" s="54">
        <v>42</v>
      </c>
      <c r="I175" s="54"/>
      <c r="J175" s="54"/>
      <c r="K175" s="54"/>
      <c r="L175" s="54"/>
      <c r="M175" s="54"/>
      <c r="N175" s="54">
        <v>3.8</v>
      </c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>
        <v>1.1</v>
      </c>
      <c r="AI175" s="54"/>
      <c r="AJ175" s="54"/>
      <c r="AK175" s="54"/>
      <c r="AL175" s="54"/>
      <c r="AM175" s="54"/>
      <c r="AN175" s="54"/>
      <c r="AO175" s="54"/>
      <c r="AP175" s="54"/>
      <c r="AQ175" s="54">
        <v>18.8</v>
      </c>
      <c r="AR175" s="54">
        <v>30.9</v>
      </c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>
        <v>75</v>
      </c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</row>
    <row r="176" spans="1:178" ht="20.25">
      <c r="A176">
        <v>23</v>
      </c>
      <c r="B176" s="55" t="s">
        <v>321</v>
      </c>
      <c r="C176" s="55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>
        <v>11.3</v>
      </c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>
        <v>0.8</v>
      </c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>
        <v>18.8</v>
      </c>
      <c r="AT176" s="54"/>
      <c r="AU176" s="54">
        <v>56.6</v>
      </c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>
        <v>75</v>
      </c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</row>
    <row r="177" spans="1:178" ht="20.25">
      <c r="A177">
        <v>136</v>
      </c>
      <c r="B177" s="54" t="s">
        <v>185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>
        <v>7.5</v>
      </c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>
        <v>0.5</v>
      </c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>
        <v>14.3</v>
      </c>
      <c r="AT177" s="54"/>
      <c r="AU177" s="54">
        <v>40</v>
      </c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>
        <v>50</v>
      </c>
      <c r="BQ177" s="54"/>
      <c r="BR177" s="54"/>
      <c r="BS177" s="54">
        <v>1</v>
      </c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</row>
    <row r="178" spans="1:178" ht="20.25">
      <c r="A178">
        <v>135</v>
      </c>
      <c r="B178" s="54" t="s">
        <v>184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>
        <v>6</v>
      </c>
      <c r="S178" s="54"/>
      <c r="T178" s="54">
        <v>6</v>
      </c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>
        <v>51.5</v>
      </c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>
        <v>50</v>
      </c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</row>
    <row r="179" spans="1:178" ht="20.25">
      <c r="A179">
        <v>124</v>
      </c>
      <c r="B179" s="54" t="s">
        <v>168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>
        <v>2.3</v>
      </c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>
        <v>98.3</v>
      </c>
      <c r="AV179" s="54"/>
      <c r="AW179" s="54"/>
      <c r="AX179" s="54"/>
      <c r="AY179" s="54"/>
      <c r="AZ179" s="54"/>
      <c r="BA179" s="54">
        <v>0.4</v>
      </c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>
        <v>75</v>
      </c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</row>
    <row r="180" spans="1:178" ht="20.25">
      <c r="A180">
        <v>130</v>
      </c>
      <c r="B180" s="54" t="s">
        <v>175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>
        <v>7.5</v>
      </c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>
        <v>1.5</v>
      </c>
      <c r="AI180" s="54"/>
      <c r="AJ180" s="54"/>
      <c r="AK180" s="54"/>
      <c r="AL180" s="54"/>
      <c r="AM180" s="54"/>
      <c r="AN180" s="54">
        <v>5</v>
      </c>
      <c r="AO180" s="54"/>
      <c r="AP180" s="54"/>
      <c r="AQ180" s="54"/>
      <c r="AR180" s="54"/>
      <c r="AS180" s="54"/>
      <c r="AT180" s="54"/>
      <c r="AU180" s="54">
        <v>49</v>
      </c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>
        <v>50</v>
      </c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>
        <v>1.5</v>
      </c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</row>
    <row r="181" spans="1:178" ht="20.25">
      <c r="A181">
        <v>27</v>
      </c>
      <c r="B181" s="55" t="s">
        <v>325</v>
      </c>
      <c r="C181" s="55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>
        <v>2</v>
      </c>
      <c r="O181" s="54"/>
      <c r="P181" s="54"/>
      <c r="Q181" s="54"/>
      <c r="R181" s="54">
        <v>9</v>
      </c>
      <c r="S181" s="54"/>
      <c r="T181" s="54">
        <v>9</v>
      </c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>
        <v>67.8</v>
      </c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>
        <v>75</v>
      </c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</row>
    <row r="182" spans="1:178" ht="20.25">
      <c r="A182">
        <v>127</v>
      </c>
      <c r="B182" s="54" t="s">
        <v>171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>
        <v>1.7</v>
      </c>
      <c r="M182" s="54"/>
      <c r="N182" s="54">
        <v>2.8</v>
      </c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>
        <v>35.3</v>
      </c>
      <c r="AR182" s="54"/>
      <c r="AS182" s="54"/>
      <c r="AT182" s="54"/>
      <c r="AU182" s="54">
        <v>56</v>
      </c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>
        <v>75</v>
      </c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</row>
    <row r="183" spans="1:178" ht="20.25">
      <c r="A183">
        <v>133</v>
      </c>
      <c r="B183" s="54" t="s">
        <v>180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>
        <v>1.7</v>
      </c>
      <c r="M183" s="54"/>
      <c r="N183" s="54">
        <v>3.8</v>
      </c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>
        <v>64.8</v>
      </c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>
        <v>50</v>
      </c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>
        <v>0.3</v>
      </c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</row>
    <row r="184" spans="1:178" ht="20.25">
      <c r="A184">
        <v>154</v>
      </c>
      <c r="B184" s="54" t="s">
        <v>211</v>
      </c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>
        <v>1.5</v>
      </c>
      <c r="O184" s="54"/>
      <c r="P184" s="54"/>
      <c r="Q184" s="54"/>
      <c r="R184" s="54"/>
      <c r="S184" s="54"/>
      <c r="T184" s="54">
        <v>15.5</v>
      </c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>
        <v>33.5</v>
      </c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>
        <v>50</v>
      </c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>
        <v>6.8</v>
      </c>
      <c r="CW184" s="54"/>
      <c r="CX184" s="54"/>
      <c r="CY184" s="54"/>
      <c r="CZ184" s="54">
        <v>0.3</v>
      </c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  <c r="FP184" s="54"/>
      <c r="FQ184" s="54"/>
      <c r="FR184" s="54"/>
      <c r="FS184" s="54"/>
      <c r="FT184" s="54"/>
      <c r="FU184" s="54"/>
      <c r="FV184" s="54"/>
    </row>
    <row r="185" spans="1:178" ht="20.25">
      <c r="A185">
        <v>111</v>
      </c>
      <c r="B185" s="55" t="s">
        <v>395</v>
      </c>
      <c r="C185" s="55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>
        <v>3.8</v>
      </c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>
        <v>8.5</v>
      </c>
      <c r="AU185" s="54"/>
      <c r="AV185" s="54"/>
      <c r="AW185" s="54"/>
      <c r="AX185" s="54"/>
      <c r="AY185" s="54">
        <v>55.6</v>
      </c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>
        <v>75</v>
      </c>
      <c r="BQ185" s="54"/>
      <c r="BR185" s="54"/>
      <c r="BS185" s="54"/>
      <c r="BT185" s="54"/>
      <c r="BU185" s="54"/>
      <c r="BV185" s="54"/>
      <c r="BW185" s="54"/>
      <c r="BX185" s="54"/>
      <c r="BY185" s="54">
        <v>23</v>
      </c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DT185" s="54"/>
      <c r="DU185" s="54"/>
      <c r="DV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54"/>
      <c r="FL185" s="54"/>
      <c r="FM185" s="54"/>
      <c r="FN185" s="54"/>
      <c r="FO185" s="54"/>
      <c r="FP185" s="54"/>
      <c r="FQ185" s="54"/>
      <c r="FR185" s="54"/>
      <c r="FS185" s="54"/>
      <c r="FT185" s="54"/>
      <c r="FU185" s="54"/>
      <c r="FV185" s="54"/>
    </row>
    <row r="186" spans="1:178" ht="20.25">
      <c r="A186">
        <v>148</v>
      </c>
      <c r="B186" s="54" t="s">
        <v>198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>
        <v>1.5</v>
      </c>
      <c r="O186" s="54"/>
      <c r="P186" s="54"/>
      <c r="Q186" s="54"/>
      <c r="R186" s="54"/>
      <c r="S186" s="54"/>
      <c r="T186" s="54"/>
      <c r="U186" s="54">
        <v>0.5</v>
      </c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>
        <v>23.1</v>
      </c>
      <c r="AT186" s="54"/>
      <c r="AU186" s="54"/>
      <c r="AV186" s="54"/>
      <c r="AW186" s="54"/>
      <c r="AX186" s="54"/>
      <c r="AY186" s="54">
        <v>14.1</v>
      </c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>
        <v>50</v>
      </c>
      <c r="BQ186" s="54"/>
      <c r="BR186" s="54"/>
      <c r="BS186" s="54"/>
      <c r="BT186" s="54"/>
      <c r="BU186" s="54"/>
      <c r="BV186" s="54"/>
      <c r="BW186" s="54"/>
      <c r="BX186" s="54"/>
      <c r="BY186" s="54"/>
      <c r="BZ186" s="54">
        <v>15</v>
      </c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DT186" s="54"/>
      <c r="DU186" s="54"/>
      <c r="DV186" s="54"/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  <c r="FG186" s="54"/>
      <c r="FH186" s="54"/>
      <c r="FI186" s="54"/>
      <c r="FJ186" s="54"/>
      <c r="FK186" s="54"/>
      <c r="FL186" s="54"/>
      <c r="FM186" s="54"/>
      <c r="FN186" s="54"/>
      <c r="FO186" s="54"/>
      <c r="FP186" s="54"/>
      <c r="FQ186" s="54"/>
      <c r="FR186" s="54"/>
      <c r="FS186" s="54"/>
      <c r="FT186" s="54"/>
      <c r="FU186" s="54"/>
      <c r="FV186" s="54"/>
    </row>
    <row r="187" spans="1:178" ht="20.25">
      <c r="A187">
        <v>20</v>
      </c>
      <c r="B187" s="55" t="s">
        <v>318</v>
      </c>
      <c r="C187" s="55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>
        <v>3.8</v>
      </c>
      <c r="P187" s="54"/>
      <c r="Q187" s="54"/>
      <c r="R187" s="54">
        <v>7.5</v>
      </c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>
        <v>75</v>
      </c>
      <c r="BQ187" s="54"/>
      <c r="BR187" s="54"/>
      <c r="BS187" s="54"/>
      <c r="BT187" s="54"/>
      <c r="BU187" s="54"/>
      <c r="BV187" s="54"/>
      <c r="BW187" s="54"/>
      <c r="BX187" s="54"/>
      <c r="BY187" s="54"/>
      <c r="BZ187" s="54">
        <v>70</v>
      </c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  <c r="FP187" s="54"/>
      <c r="FQ187" s="54"/>
      <c r="FR187" s="54"/>
      <c r="FS187" s="54"/>
      <c r="FT187" s="54"/>
      <c r="FU187" s="54"/>
      <c r="FV187" s="54"/>
    </row>
    <row r="188" spans="1:178" ht="20.25">
      <c r="A188">
        <v>151</v>
      </c>
      <c r="B188" s="54" t="s">
        <v>203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>
        <v>0.3</v>
      </c>
      <c r="M188" s="54"/>
      <c r="N188" s="54">
        <v>1.5</v>
      </c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>
        <v>50</v>
      </c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>
        <v>12.5</v>
      </c>
      <c r="CX188" s="54">
        <v>1.9</v>
      </c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DT188" s="54"/>
      <c r="DU188" s="54"/>
      <c r="DV188" s="54"/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  <c r="FI188" s="54"/>
      <c r="FJ188" s="54"/>
      <c r="FK188" s="54"/>
      <c r="FL188" s="54"/>
      <c r="FM188" s="54"/>
      <c r="FN188" s="54"/>
      <c r="FO188" s="54"/>
      <c r="FP188" s="54"/>
      <c r="FQ188" s="54"/>
      <c r="FR188" s="54"/>
      <c r="FS188" s="54"/>
      <c r="FT188" s="54"/>
      <c r="FU188" s="54"/>
      <c r="FV188" s="54"/>
    </row>
    <row r="189" spans="1:178" ht="20.25">
      <c r="A189">
        <v>11</v>
      </c>
      <c r="B189" s="55" t="s">
        <v>136</v>
      </c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>
        <v>3.8</v>
      </c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>
        <v>12.6</v>
      </c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>
        <v>48</v>
      </c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>
        <v>75</v>
      </c>
      <c r="BQ189" s="54"/>
      <c r="BR189" s="54">
        <v>2.3</v>
      </c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54"/>
      <c r="FL189" s="54"/>
      <c r="FM189" s="54"/>
      <c r="FN189" s="54"/>
      <c r="FO189" s="54"/>
      <c r="FP189" s="54"/>
      <c r="FQ189" s="54"/>
      <c r="FR189" s="54"/>
      <c r="FS189" s="54"/>
      <c r="FT189" s="54"/>
      <c r="FU189" s="54"/>
      <c r="FV189" s="54"/>
    </row>
    <row r="190" spans="1:178" ht="20.25">
      <c r="A190">
        <v>22</v>
      </c>
      <c r="B190" s="55" t="s">
        <v>320</v>
      </c>
      <c r="C190" s="55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>
        <v>5.6</v>
      </c>
      <c r="P190" s="54"/>
      <c r="Q190" s="54"/>
      <c r="R190" s="54">
        <v>9.4</v>
      </c>
      <c r="S190" s="54"/>
      <c r="T190" s="54"/>
      <c r="U190" s="54">
        <v>0.2</v>
      </c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>
        <v>6</v>
      </c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>
        <v>75</v>
      </c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>
        <v>78</v>
      </c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</row>
    <row r="191" spans="1:178" ht="20.25">
      <c r="A191">
        <v>138</v>
      </c>
      <c r="B191" s="54" t="s">
        <v>188</v>
      </c>
      <c r="C191" s="54"/>
      <c r="D191" s="54"/>
      <c r="E191" s="54"/>
      <c r="F191" s="54"/>
      <c r="G191" s="54"/>
      <c r="H191" s="54"/>
      <c r="I191" s="54"/>
      <c r="J191" s="54"/>
      <c r="K191" s="54"/>
      <c r="L191" s="54">
        <v>1.7</v>
      </c>
      <c r="M191" s="54"/>
      <c r="N191" s="54">
        <v>3.8</v>
      </c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>
        <v>41.5</v>
      </c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>
        <v>50</v>
      </c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>
        <v>19</v>
      </c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  <c r="FP191" s="54"/>
      <c r="FQ191" s="54"/>
      <c r="FR191" s="54"/>
      <c r="FS191" s="54"/>
      <c r="FT191" s="54"/>
      <c r="FU191" s="54"/>
      <c r="FV191" s="54"/>
    </row>
    <row r="192" spans="1:178" ht="20.25">
      <c r="A192">
        <v>12</v>
      </c>
      <c r="B192" s="55" t="s">
        <v>137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>
        <v>2.8</v>
      </c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>
        <v>89</v>
      </c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>
        <v>75</v>
      </c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</row>
    <row r="193" spans="1:178" ht="20.25">
      <c r="A193">
        <v>24</v>
      </c>
      <c r="B193" s="54" t="s">
        <v>322</v>
      </c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>
        <v>3.8</v>
      </c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>
        <v>22.5</v>
      </c>
      <c r="AR193" s="54"/>
      <c r="AS193" s="54"/>
      <c r="AT193" s="54"/>
      <c r="AU193" s="54"/>
      <c r="AV193" s="54">
        <v>32.3</v>
      </c>
      <c r="AW193" s="54"/>
      <c r="AX193" s="54"/>
      <c r="AY193" s="54"/>
      <c r="AZ193" s="54">
        <v>40.8</v>
      </c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>
        <v>75</v>
      </c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</row>
    <row r="194" spans="1:178" ht="20.25">
      <c r="A194">
        <v>140</v>
      </c>
      <c r="B194" s="54" t="s">
        <v>490</v>
      </c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>
        <v>10</v>
      </c>
      <c r="S194" s="54"/>
      <c r="T194" s="54">
        <v>8</v>
      </c>
      <c r="U194" s="54">
        <v>0.5</v>
      </c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>
        <v>18.8</v>
      </c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>
        <v>50</v>
      </c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>
        <v>0.5</v>
      </c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</row>
    <row r="195" spans="1:178" ht="20.25">
      <c r="A195">
        <v>145</v>
      </c>
      <c r="B195" s="54" t="s">
        <v>195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>
        <v>1.5</v>
      </c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>
        <v>23.9</v>
      </c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>
        <v>17.1</v>
      </c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>
        <v>50</v>
      </c>
      <c r="BQ195" s="54"/>
      <c r="BR195" s="54"/>
      <c r="BS195" s="54"/>
      <c r="BT195" s="54"/>
      <c r="BU195" s="54"/>
      <c r="BV195" s="54"/>
      <c r="BW195" s="54"/>
      <c r="BX195" s="54"/>
      <c r="BY195" s="54"/>
      <c r="BZ195" s="54">
        <v>22.5</v>
      </c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</row>
    <row r="196" spans="1:178" ht="20.25">
      <c r="A196">
        <v>108</v>
      </c>
      <c r="B196" s="55" t="s">
        <v>489</v>
      </c>
      <c r="C196" s="55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>
        <v>200</v>
      </c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</row>
    <row r="197" spans="1:178" ht="20.25">
      <c r="A197">
        <v>109</v>
      </c>
      <c r="B197" s="55" t="s">
        <v>393</v>
      </c>
      <c r="C197" s="55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>
        <v>3.8</v>
      </c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>
        <v>31.3</v>
      </c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>
        <v>25.6</v>
      </c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>
        <v>75</v>
      </c>
      <c r="BQ197" s="54"/>
      <c r="BR197" s="54"/>
      <c r="BS197" s="54"/>
      <c r="BT197" s="54"/>
      <c r="BU197" s="54"/>
      <c r="BV197" s="54"/>
      <c r="BW197" s="54"/>
      <c r="BX197" s="54"/>
      <c r="BY197" s="54"/>
      <c r="BZ197" s="54">
        <v>33.8</v>
      </c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</row>
    <row r="198" spans="1:178" ht="20.25">
      <c r="A198">
        <v>110</v>
      </c>
      <c r="B198" s="55" t="s">
        <v>394</v>
      </c>
      <c r="C198" s="55"/>
      <c r="D198" s="54"/>
      <c r="E198" s="54"/>
      <c r="F198" s="54"/>
      <c r="G198" s="54"/>
      <c r="H198" s="54"/>
      <c r="I198" s="54"/>
      <c r="J198" s="54"/>
      <c r="K198" s="54"/>
      <c r="L198" s="54">
        <v>3.8</v>
      </c>
      <c r="M198" s="54"/>
      <c r="N198" s="54">
        <v>3.75</v>
      </c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>
        <v>0.75</v>
      </c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>
        <v>20.55</v>
      </c>
      <c r="AU198" s="54"/>
      <c r="AV198" s="54"/>
      <c r="AW198" s="54"/>
      <c r="AX198" s="54"/>
      <c r="AY198" s="54">
        <v>66.2</v>
      </c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>
        <v>75</v>
      </c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</row>
    <row r="199" spans="1:178" ht="20.25">
      <c r="A199">
        <v>146</v>
      </c>
      <c r="B199" s="54" t="s">
        <v>196</v>
      </c>
      <c r="C199" s="54"/>
      <c r="D199" s="54"/>
      <c r="E199" s="54"/>
      <c r="F199" s="54"/>
      <c r="G199" s="54"/>
      <c r="H199" s="54"/>
      <c r="I199" s="54"/>
      <c r="J199" s="54"/>
      <c r="K199" s="54"/>
      <c r="L199" s="54">
        <v>0.5</v>
      </c>
      <c r="M199" s="54"/>
      <c r="N199" s="54">
        <v>1.5</v>
      </c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>
        <v>0.5</v>
      </c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>
        <v>20.5</v>
      </c>
      <c r="AU199" s="54"/>
      <c r="AV199" s="54"/>
      <c r="AW199" s="54"/>
      <c r="AX199" s="54"/>
      <c r="AY199" s="54">
        <v>66.2</v>
      </c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>
        <v>75</v>
      </c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</row>
    <row r="200" spans="1:178" ht="20.25">
      <c r="A200">
        <v>147</v>
      </c>
      <c r="B200" s="54" t="s">
        <v>197</v>
      </c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>
        <v>1.5</v>
      </c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>
        <v>7.6</v>
      </c>
      <c r="AU200" s="54"/>
      <c r="AV200" s="54"/>
      <c r="AW200" s="54"/>
      <c r="AX200" s="54"/>
      <c r="AY200" s="54">
        <v>37.6</v>
      </c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>
        <v>50</v>
      </c>
      <c r="BQ200" s="54"/>
      <c r="BR200" s="54"/>
      <c r="BS200" s="54"/>
      <c r="BT200" s="54"/>
      <c r="BU200" s="54"/>
      <c r="BV200" s="54"/>
      <c r="BW200" s="54"/>
      <c r="BX200" s="54"/>
      <c r="BY200" s="54">
        <v>15.3</v>
      </c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</row>
    <row r="201" spans="1:178" ht="20.25">
      <c r="A201">
        <v>117</v>
      </c>
      <c r="B201" s="54" t="s">
        <v>158</v>
      </c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>
        <v>2.3</v>
      </c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>
        <v>97.1</v>
      </c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>
        <v>75</v>
      </c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</row>
    <row r="202" spans="1:178" ht="20.25">
      <c r="A202">
        <v>116</v>
      </c>
      <c r="B202" s="54" t="s">
        <v>157</v>
      </c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>
        <v>12</v>
      </c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>
        <v>85.5</v>
      </c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>
        <v>75</v>
      </c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</row>
    <row r="203" spans="1:178" ht="20.25">
      <c r="A203">
        <v>141</v>
      </c>
      <c r="B203" s="54" t="s">
        <v>192</v>
      </c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>
        <v>5</v>
      </c>
      <c r="S203" s="54"/>
      <c r="T203" s="54"/>
      <c r="U203" s="54">
        <v>1</v>
      </c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>
        <v>17.8</v>
      </c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>
        <v>50</v>
      </c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</row>
    <row r="204" spans="1:178" ht="20.25">
      <c r="A204">
        <v>21</v>
      </c>
      <c r="B204" s="55" t="s">
        <v>319</v>
      </c>
      <c r="C204" s="55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>
        <v>3.8</v>
      </c>
      <c r="P204" s="54"/>
      <c r="Q204" s="54"/>
      <c r="R204" s="54">
        <v>7.5</v>
      </c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>
        <v>18</v>
      </c>
      <c r="AU204" s="54"/>
      <c r="AV204" s="54"/>
      <c r="AW204" s="54"/>
      <c r="AX204" s="54"/>
      <c r="AY204" s="54"/>
      <c r="AZ204" s="54"/>
      <c r="BA204" s="54"/>
      <c r="BB204" s="54"/>
      <c r="BC204" s="54">
        <v>3.8</v>
      </c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>
        <v>75</v>
      </c>
      <c r="BQ204" s="54"/>
      <c r="BR204" s="54"/>
      <c r="BS204" s="54"/>
      <c r="BT204" s="54"/>
      <c r="BU204" s="54"/>
      <c r="BV204" s="54"/>
      <c r="BW204" s="54"/>
      <c r="BX204" s="54"/>
      <c r="BY204" s="54">
        <v>54</v>
      </c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DT204" s="54"/>
      <c r="DU204" s="54"/>
      <c r="DV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  <c r="FP204" s="54"/>
      <c r="FQ204" s="54"/>
      <c r="FR204" s="54"/>
      <c r="FS204" s="54"/>
      <c r="FT204" s="54"/>
      <c r="FU204" s="54"/>
      <c r="FV204" s="54"/>
    </row>
    <row r="205" spans="1:178" ht="20.25">
      <c r="A205">
        <v>142</v>
      </c>
      <c r="B205" s="54" t="s">
        <v>193</v>
      </c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>
        <v>1.5</v>
      </c>
      <c r="O205" s="54"/>
      <c r="P205" s="54"/>
      <c r="Q205" s="54"/>
      <c r="R205" s="54"/>
      <c r="S205" s="54"/>
      <c r="T205" s="54"/>
      <c r="U205" s="54">
        <v>0.5</v>
      </c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>
        <v>50</v>
      </c>
      <c r="BQ205" s="54"/>
      <c r="BR205" s="54">
        <v>30</v>
      </c>
      <c r="BS205" s="54">
        <v>0.3</v>
      </c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</row>
    <row r="206" spans="1:178" ht="20.25">
      <c r="A206">
        <v>13</v>
      </c>
      <c r="B206" s="55" t="s">
        <v>138</v>
      </c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>
        <v>3.8</v>
      </c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>
        <v>75</v>
      </c>
      <c r="AS206" s="54"/>
      <c r="AT206" s="54"/>
      <c r="AU206" s="54"/>
      <c r="AV206" s="54"/>
      <c r="AW206" s="54">
        <v>16.7</v>
      </c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>
        <v>75</v>
      </c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</row>
    <row r="207" spans="1:178" ht="20.25">
      <c r="A207">
        <v>26</v>
      </c>
      <c r="B207" s="54" t="s">
        <v>324</v>
      </c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>
        <v>3.5</v>
      </c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>
        <v>16.3</v>
      </c>
      <c r="AV207" s="54"/>
      <c r="AW207" s="54">
        <v>26.8</v>
      </c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>
        <v>100</v>
      </c>
      <c r="BQ207" s="54"/>
      <c r="BR207" s="54">
        <v>6.8</v>
      </c>
      <c r="BS207" s="54"/>
      <c r="BT207" s="54"/>
      <c r="BU207" s="54"/>
      <c r="BV207" s="54">
        <v>20.4</v>
      </c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</row>
    <row r="208" spans="1:178" ht="20.25">
      <c r="A208">
        <v>121</v>
      </c>
      <c r="B208" s="54" t="s">
        <v>165</v>
      </c>
      <c r="C208" s="54"/>
      <c r="D208" s="54"/>
      <c r="E208" s="54"/>
      <c r="F208" s="54"/>
      <c r="G208" s="54"/>
      <c r="H208" s="54"/>
      <c r="I208" s="54"/>
      <c r="J208" s="54">
        <v>33.8</v>
      </c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>
        <v>30.8</v>
      </c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>
        <v>75</v>
      </c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>
        <v>12</v>
      </c>
      <c r="CL208" s="54">
        <v>26.3</v>
      </c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</row>
    <row r="209" spans="1:178" ht="20.25">
      <c r="A209">
        <v>28</v>
      </c>
      <c r="B209" s="54" t="s">
        <v>488</v>
      </c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>
        <v>3</v>
      </c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>
        <v>41.1</v>
      </c>
      <c r="BA209" s="54"/>
      <c r="BB209" s="54">
        <v>3</v>
      </c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>
        <v>75</v>
      </c>
      <c r="BQ209" s="54"/>
      <c r="BR209" s="54"/>
      <c r="BS209" s="54"/>
      <c r="BT209" s="54"/>
      <c r="BU209" s="54"/>
      <c r="BV209" s="54">
        <v>17.6</v>
      </c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</row>
    <row r="210" spans="1:178" ht="20.25">
      <c r="A210">
        <v>218</v>
      </c>
      <c r="B210" s="54" t="s">
        <v>288</v>
      </c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>
        <v>200</v>
      </c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>
        <v>200</v>
      </c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</row>
    <row r="211" spans="1:178" ht="20.25">
      <c r="A211">
        <v>266</v>
      </c>
      <c r="B211" s="54" t="s">
        <v>424</v>
      </c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>
        <v>200</v>
      </c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>
        <v>200</v>
      </c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</row>
    <row r="212" spans="1:178" ht="20.25">
      <c r="A212">
        <v>267</v>
      </c>
      <c r="B212" s="54" t="s">
        <v>425</v>
      </c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>
        <v>200</v>
      </c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>
        <v>200</v>
      </c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</row>
    <row r="213" spans="1:178" ht="20.25">
      <c r="A213">
        <v>237</v>
      </c>
      <c r="B213" s="54" t="s">
        <v>307</v>
      </c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>
        <v>6</v>
      </c>
      <c r="O213" s="54">
        <v>12</v>
      </c>
      <c r="P213" s="54"/>
      <c r="Q213" s="54"/>
      <c r="R213" s="54">
        <v>12</v>
      </c>
      <c r="S213" s="54"/>
      <c r="T213" s="54"/>
      <c r="U213" s="54"/>
      <c r="V213" s="54"/>
      <c r="W213" s="54">
        <v>27</v>
      </c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>
        <v>6</v>
      </c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>
        <v>0.6</v>
      </c>
      <c r="BL213" s="54"/>
      <c r="BM213" s="54"/>
      <c r="BN213" s="54"/>
      <c r="BO213" s="54"/>
      <c r="BP213" s="54">
        <v>60</v>
      </c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>
        <v>0.4</v>
      </c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</row>
    <row r="214" spans="1:178" ht="20.25">
      <c r="A214">
        <v>94</v>
      </c>
      <c r="B214" s="55" t="s">
        <v>380</v>
      </c>
      <c r="C214" s="55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>
        <v>0.8</v>
      </c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>
        <v>7.5</v>
      </c>
      <c r="AT214" s="54"/>
      <c r="AU214" s="54">
        <v>3.8</v>
      </c>
      <c r="AV214" s="54"/>
      <c r="AW214" s="54"/>
      <c r="AX214" s="54">
        <v>3</v>
      </c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>
        <v>30</v>
      </c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</row>
    <row r="215" spans="1:178" ht="20.25">
      <c r="A215">
        <v>93</v>
      </c>
      <c r="B215" s="55" t="s">
        <v>379</v>
      </c>
      <c r="C215" s="55"/>
      <c r="D215" s="54"/>
      <c r="E215" s="54"/>
      <c r="F215" s="54"/>
      <c r="G215" s="54"/>
      <c r="H215" s="54"/>
      <c r="I215" s="54"/>
      <c r="J215" s="54"/>
      <c r="K215" s="54"/>
      <c r="L215" s="54">
        <v>1.7</v>
      </c>
      <c r="M215" s="54"/>
      <c r="N215" s="54">
        <v>2.8</v>
      </c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>
        <v>30</v>
      </c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</row>
    <row r="216" spans="1:178" ht="20.25">
      <c r="A216">
        <v>97</v>
      </c>
      <c r="B216" s="55" t="s">
        <v>383</v>
      </c>
      <c r="C216" s="55"/>
      <c r="D216" s="54"/>
      <c r="E216" s="54"/>
      <c r="F216" s="54"/>
      <c r="G216" s="54"/>
      <c r="H216" s="54"/>
      <c r="I216" s="54"/>
      <c r="J216" s="54"/>
      <c r="K216" s="54">
        <v>0.5</v>
      </c>
      <c r="L216" s="54"/>
      <c r="M216" s="54"/>
      <c r="N216" s="54"/>
      <c r="O216" s="54">
        <v>28.5</v>
      </c>
      <c r="P216" s="54"/>
      <c r="Q216" s="54"/>
      <c r="R216" s="54"/>
      <c r="S216" s="54"/>
      <c r="T216" s="54"/>
      <c r="U216" s="54"/>
      <c r="V216" s="54"/>
      <c r="W216" s="54">
        <v>1.6</v>
      </c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>
        <v>30</v>
      </c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</row>
    <row r="217" spans="1:178" ht="20.25">
      <c r="A217">
        <v>92</v>
      </c>
      <c r="B217" s="55" t="s">
        <v>378</v>
      </c>
      <c r="C217" s="55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>
        <v>31.5</v>
      </c>
      <c r="AH217" s="54">
        <v>0.8</v>
      </c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>
        <v>8</v>
      </c>
      <c r="AU217" s="54">
        <v>31</v>
      </c>
      <c r="AV217" s="54"/>
      <c r="AW217" s="54"/>
      <c r="AX217" s="54">
        <v>10</v>
      </c>
      <c r="AY217" s="54"/>
      <c r="AZ217" s="54"/>
      <c r="BA217" s="54">
        <v>0.1</v>
      </c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>
        <v>30</v>
      </c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</row>
    <row r="218" spans="1:178" ht="20.25">
      <c r="A218">
        <v>90</v>
      </c>
      <c r="B218" s="55" t="s">
        <v>376</v>
      </c>
      <c r="C218" s="55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>
        <v>4.5</v>
      </c>
      <c r="O218" s="54">
        <v>30</v>
      </c>
      <c r="P218" s="54"/>
      <c r="Q218" s="54"/>
      <c r="R218" s="54"/>
      <c r="S218" s="54"/>
      <c r="T218" s="54"/>
      <c r="U218" s="54">
        <v>0.1</v>
      </c>
      <c r="V218" s="54"/>
      <c r="W218" s="54">
        <v>20.3</v>
      </c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>
        <v>2.3</v>
      </c>
      <c r="AI218" s="54"/>
      <c r="AJ218" s="54"/>
      <c r="AK218" s="54"/>
      <c r="AL218" s="54"/>
      <c r="AM218" s="54"/>
      <c r="AN218" s="54"/>
      <c r="AO218" s="54"/>
      <c r="AP218" s="54"/>
      <c r="AQ218" s="54">
        <v>29.3</v>
      </c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>
        <v>7.5</v>
      </c>
      <c r="BH218" s="54"/>
      <c r="BI218" s="54"/>
      <c r="BJ218" s="54"/>
      <c r="BK218" s="54"/>
      <c r="BL218" s="54"/>
      <c r="BM218" s="54"/>
      <c r="BN218" s="54"/>
      <c r="BO218" s="54"/>
      <c r="BP218" s="54">
        <v>75</v>
      </c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</row>
    <row r="219" spans="1:178" ht="20.25">
      <c r="A219">
        <v>101</v>
      </c>
      <c r="B219" s="55" t="s">
        <v>387</v>
      </c>
      <c r="C219" s="55"/>
      <c r="D219" s="54"/>
      <c r="E219" s="54"/>
      <c r="F219" s="54"/>
      <c r="G219" s="54"/>
      <c r="H219" s="54"/>
      <c r="I219" s="54">
        <v>12</v>
      </c>
      <c r="J219" s="54"/>
      <c r="K219" s="54">
        <v>0.8</v>
      </c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>
        <v>0.1</v>
      </c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>
        <v>0.5</v>
      </c>
      <c r="AU219" s="54">
        <v>5.1</v>
      </c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>
        <v>30</v>
      </c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</row>
    <row r="220" spans="1:178" ht="20.25">
      <c r="A220">
        <v>98</v>
      </c>
      <c r="B220" s="55" t="s">
        <v>384</v>
      </c>
      <c r="C220" s="55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>
        <v>30</v>
      </c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</row>
    <row r="221" spans="1:178" ht="20.25">
      <c r="A221">
        <v>99</v>
      </c>
      <c r="B221" s="55" t="s">
        <v>385</v>
      </c>
      <c r="C221" s="55"/>
      <c r="D221" s="54"/>
      <c r="E221" s="54"/>
      <c r="F221" s="54"/>
      <c r="G221" s="54"/>
      <c r="H221" s="54"/>
      <c r="I221" s="54"/>
      <c r="J221" s="54"/>
      <c r="K221" s="54">
        <v>0.4</v>
      </c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>
        <v>0.8</v>
      </c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>
        <v>4.7</v>
      </c>
      <c r="AU221" s="54">
        <v>4.7</v>
      </c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>
        <v>30</v>
      </c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</row>
    <row r="222" spans="1:178" ht="20.25">
      <c r="A222">
        <v>91</v>
      </c>
      <c r="B222" s="55" t="s">
        <v>377</v>
      </c>
      <c r="C222" s="55"/>
      <c r="D222" s="54"/>
      <c r="E222" s="54"/>
      <c r="F222" s="54"/>
      <c r="G222" s="54"/>
      <c r="H222" s="54"/>
      <c r="I222" s="54"/>
      <c r="J222" s="54"/>
      <c r="K222" s="54"/>
      <c r="L222" s="54"/>
      <c r="M222" s="54">
        <v>0.8</v>
      </c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>
        <v>1</v>
      </c>
      <c r="Y222" s="54"/>
      <c r="Z222" s="54"/>
      <c r="AA222" s="54"/>
      <c r="AB222" s="54"/>
      <c r="AC222" s="54"/>
      <c r="AD222" s="54"/>
      <c r="AE222" s="54"/>
      <c r="AF222" s="54"/>
      <c r="AG222" s="54"/>
      <c r="AH222" s="54">
        <v>3.4</v>
      </c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>
        <v>30</v>
      </c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</row>
    <row r="223" spans="1:178" ht="20.25">
      <c r="A223">
        <v>100</v>
      </c>
      <c r="B223" s="55" t="s">
        <v>386</v>
      </c>
      <c r="C223" s="55"/>
      <c r="D223" s="54"/>
      <c r="E223" s="54"/>
      <c r="F223" s="54"/>
      <c r="G223" s="54"/>
      <c r="H223" s="54"/>
      <c r="I223" s="54">
        <v>33</v>
      </c>
      <c r="J223" s="54"/>
      <c r="K223" s="54">
        <v>1</v>
      </c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>
        <v>2</v>
      </c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>
        <v>2</v>
      </c>
      <c r="AU223" s="54">
        <v>19</v>
      </c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>
        <v>30</v>
      </c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</row>
    <row r="224" spans="1:178" ht="20.25">
      <c r="A224">
        <v>95</v>
      </c>
      <c r="B224" s="55" t="s">
        <v>381</v>
      </c>
      <c r="C224" s="55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>
        <v>0.9</v>
      </c>
      <c r="Y224" s="54"/>
      <c r="Z224" s="54"/>
      <c r="AA224" s="54"/>
      <c r="AB224" s="54"/>
      <c r="AC224" s="54"/>
      <c r="AD224" s="54"/>
      <c r="AE224" s="54"/>
      <c r="AF224" s="54"/>
      <c r="AG224" s="54"/>
      <c r="AH224" s="54">
        <v>2.5</v>
      </c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>
        <v>6.4</v>
      </c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>
        <v>30</v>
      </c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</row>
    <row r="225" spans="1:178" ht="20.25">
      <c r="A225">
        <v>107</v>
      </c>
      <c r="B225" s="55" t="s">
        <v>392</v>
      </c>
      <c r="C225" s="55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>
        <v>8</v>
      </c>
      <c r="AI225" s="54"/>
      <c r="AJ225" s="54"/>
      <c r="AK225" s="54">
        <v>0.8</v>
      </c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>
        <v>200</v>
      </c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</row>
    <row r="226" spans="1:178" ht="20.25">
      <c r="A226">
        <v>96</v>
      </c>
      <c r="B226" s="55" t="s">
        <v>382</v>
      </c>
      <c r="C226" s="55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>
        <v>1.2</v>
      </c>
      <c r="O226" s="54"/>
      <c r="P226" s="54">
        <v>20</v>
      </c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>
        <v>12</v>
      </c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>
        <v>32.2</v>
      </c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>
        <v>0.1</v>
      </c>
      <c r="BO226" s="54"/>
      <c r="BP226" s="54">
        <v>30</v>
      </c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  <c r="FP226" s="54"/>
      <c r="FQ226" s="54"/>
      <c r="FR226" s="54"/>
      <c r="FS226" s="54"/>
      <c r="FT226" s="54"/>
      <c r="FU226" s="54"/>
      <c r="FV226" s="54"/>
    </row>
    <row r="227" spans="1:178" ht="20.25">
      <c r="A227">
        <v>169</v>
      </c>
      <c r="B227" s="54" t="s">
        <v>232</v>
      </c>
      <c r="C227" s="54"/>
      <c r="D227" s="54"/>
      <c r="E227" s="54"/>
      <c r="F227" s="54"/>
      <c r="G227" s="54"/>
      <c r="H227" s="54"/>
      <c r="I227" s="54"/>
      <c r="J227" s="54"/>
      <c r="K227" s="54">
        <v>2.4</v>
      </c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>
        <v>120</v>
      </c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>
        <v>0.3</v>
      </c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>
        <v>58.2</v>
      </c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  <c r="FP227" s="54"/>
      <c r="FQ227" s="54"/>
      <c r="FR227" s="54"/>
      <c r="FS227" s="54"/>
      <c r="FT227" s="54"/>
      <c r="FU227" s="54"/>
      <c r="FV227" s="54"/>
    </row>
    <row r="228" spans="1:178" ht="20.25">
      <c r="A228">
        <v>161</v>
      </c>
      <c r="B228" s="54" t="s">
        <v>221</v>
      </c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>
        <v>5</v>
      </c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>
        <v>14.5</v>
      </c>
      <c r="AU228" s="54">
        <v>11.3</v>
      </c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>
        <v>250</v>
      </c>
      <c r="BQ228" s="54"/>
      <c r="BR228" s="54"/>
      <c r="BS228" s="54">
        <v>2.5</v>
      </c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>
        <v>1.3</v>
      </c>
      <c r="CY228" s="54"/>
      <c r="CZ228" s="54"/>
      <c r="DA228" s="54"/>
      <c r="DB228" s="54"/>
      <c r="DC228" s="54"/>
      <c r="DD228" s="54"/>
      <c r="DE228" s="54">
        <v>37.5</v>
      </c>
      <c r="DF228" s="54">
        <v>26.3</v>
      </c>
      <c r="DG228" s="54">
        <v>0.8</v>
      </c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</row>
    <row r="229" spans="1:178" ht="20.25">
      <c r="A229">
        <v>163</v>
      </c>
      <c r="B229" s="54" t="s">
        <v>225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>
        <v>2.5</v>
      </c>
      <c r="O229" s="54"/>
      <c r="P229" s="54"/>
      <c r="Q229" s="54"/>
      <c r="R229" s="54"/>
      <c r="S229" s="54"/>
      <c r="T229" s="54"/>
      <c r="U229" s="54">
        <v>0.1</v>
      </c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>
        <v>71.3</v>
      </c>
      <c r="AS229" s="54"/>
      <c r="AT229" s="54">
        <v>7.5</v>
      </c>
      <c r="AU229" s="54">
        <v>12</v>
      </c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>
        <v>250</v>
      </c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>
        <v>1</v>
      </c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</row>
    <row r="230" spans="1:178" ht="20.25">
      <c r="A230">
        <v>166</v>
      </c>
      <c r="B230" s="54" t="s">
        <v>229</v>
      </c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>
        <v>2</v>
      </c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>
        <v>50</v>
      </c>
      <c r="AG230" s="54">
        <v>13.8</v>
      </c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>
        <v>75</v>
      </c>
      <c r="AS230" s="54"/>
      <c r="AT230" s="54">
        <v>7.5</v>
      </c>
      <c r="AU230" s="54">
        <v>12</v>
      </c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>
        <v>250</v>
      </c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</row>
    <row r="231" spans="1:178" ht="20.25">
      <c r="A231">
        <v>29</v>
      </c>
      <c r="B231" s="55" t="s">
        <v>326</v>
      </c>
      <c r="C231" s="55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>
        <v>7.3</v>
      </c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>
        <v>18.7</v>
      </c>
      <c r="AT231" s="54">
        <v>14.8</v>
      </c>
      <c r="AU231" s="54">
        <v>11.1</v>
      </c>
      <c r="AV231" s="54"/>
      <c r="AW231" s="54"/>
      <c r="AX231" s="54"/>
      <c r="AY231" s="54"/>
      <c r="AZ231" s="54"/>
      <c r="BA231" s="54"/>
      <c r="BB231" s="54"/>
      <c r="BC231" s="54"/>
      <c r="BD231" s="54"/>
      <c r="BE231" s="54">
        <v>17.8</v>
      </c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>
        <v>250</v>
      </c>
      <c r="BQ231" s="54"/>
      <c r="BR231" s="54"/>
      <c r="BS231" s="54"/>
      <c r="BT231" s="54"/>
      <c r="BU231" s="54">
        <v>17.8</v>
      </c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</row>
    <row r="232" spans="1:178" ht="20.25">
      <c r="A232">
        <v>164</v>
      </c>
      <c r="B232" s="54" t="s">
        <v>226</v>
      </c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>
        <v>2</v>
      </c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>
        <v>71.5</v>
      </c>
      <c r="AS232" s="54"/>
      <c r="AT232" s="54">
        <v>7.5</v>
      </c>
      <c r="AU232" s="54">
        <v>13.5</v>
      </c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>
        <v>250</v>
      </c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>
        <v>50</v>
      </c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</row>
    <row r="233" spans="1:178" ht="20.25">
      <c r="A233">
        <v>37</v>
      </c>
      <c r="B233" s="54" t="s">
        <v>333</v>
      </c>
      <c r="C233" s="54"/>
      <c r="D233" s="54"/>
      <c r="E233" s="54"/>
      <c r="F233" s="54"/>
      <c r="G233" s="54"/>
      <c r="H233" s="54"/>
      <c r="I233" s="54"/>
      <c r="J233" s="54"/>
      <c r="K233" s="54">
        <v>5</v>
      </c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>
        <v>10</v>
      </c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>
        <v>125</v>
      </c>
      <c r="AS233" s="54"/>
      <c r="AT233" s="54">
        <v>12</v>
      </c>
      <c r="AU233" s="54"/>
      <c r="AV233" s="54"/>
      <c r="AW233" s="54"/>
      <c r="AX233" s="54">
        <v>7.5</v>
      </c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>
        <v>250</v>
      </c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>
        <v>0.8</v>
      </c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</row>
    <row r="234" spans="1:178" ht="20.25">
      <c r="A234">
        <v>33</v>
      </c>
      <c r="B234" s="55" t="s">
        <v>329</v>
      </c>
      <c r="C234" s="55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>
        <v>2.5</v>
      </c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>
        <v>68.7</v>
      </c>
      <c r="AS234" s="54">
        <v>25</v>
      </c>
      <c r="AT234" s="54">
        <v>12</v>
      </c>
      <c r="AU234" s="54">
        <v>12.8</v>
      </c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>
        <v>250</v>
      </c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>
        <v>8.3</v>
      </c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</row>
    <row r="235" spans="1:178" ht="20.25">
      <c r="A235">
        <v>51</v>
      </c>
      <c r="B235" s="55" t="s">
        <v>345</v>
      </c>
      <c r="C235" s="55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>
        <v>2</v>
      </c>
      <c r="O235" s="54"/>
      <c r="P235" s="54"/>
      <c r="Q235" s="54"/>
      <c r="R235" s="54"/>
      <c r="S235" s="54"/>
      <c r="T235" s="54"/>
      <c r="U235" s="54"/>
      <c r="V235" s="54"/>
      <c r="W235" s="54">
        <v>206</v>
      </c>
      <c r="X235" s="54"/>
      <c r="Y235" s="54"/>
      <c r="Z235" s="54"/>
      <c r="AA235" s="54"/>
      <c r="AB235" s="54"/>
      <c r="AC235" s="54"/>
      <c r="AD235" s="54"/>
      <c r="AE235" s="54"/>
      <c r="AF235" s="54">
        <v>4.1</v>
      </c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>
        <v>70.7</v>
      </c>
      <c r="AS235" s="54"/>
      <c r="AT235" s="54">
        <v>25</v>
      </c>
      <c r="AU235" s="54"/>
      <c r="AV235" s="54"/>
      <c r="AW235" s="54"/>
      <c r="AX235" s="54">
        <v>13.2</v>
      </c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>
        <v>100</v>
      </c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>
        <v>4.1</v>
      </c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  <c r="FP235" s="54"/>
      <c r="FQ235" s="54"/>
      <c r="FR235" s="54"/>
      <c r="FS235" s="54"/>
      <c r="FT235" s="54"/>
      <c r="FU235" s="54"/>
      <c r="FV235" s="54"/>
    </row>
    <row r="236" spans="1:178" ht="20.25">
      <c r="A236">
        <v>238</v>
      </c>
      <c r="B236" s="54" t="s">
        <v>308</v>
      </c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>
        <v>0.1</v>
      </c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>
        <v>22.5</v>
      </c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>
        <v>75</v>
      </c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4"/>
      <c r="DX236" s="54">
        <v>37.5</v>
      </c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</row>
    <row r="237" spans="1:178" ht="20.25">
      <c r="A237">
        <v>158</v>
      </c>
      <c r="B237" s="54" t="s">
        <v>216</v>
      </c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>
        <v>15</v>
      </c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>
        <v>100</v>
      </c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54"/>
      <c r="FL237" s="54"/>
      <c r="FM237" s="54"/>
      <c r="FN237" s="54"/>
      <c r="FO237" s="54"/>
      <c r="FP237" s="54"/>
      <c r="FQ237" s="54"/>
      <c r="FR237" s="54"/>
      <c r="FS237" s="54"/>
      <c r="FT237" s="54"/>
      <c r="FU237" s="54"/>
      <c r="FV237" s="54"/>
    </row>
    <row r="238" spans="1:178" ht="20.25">
      <c r="A238">
        <v>39</v>
      </c>
      <c r="B238" s="55" t="s">
        <v>335</v>
      </c>
      <c r="C238" s="55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>
        <v>0.1</v>
      </c>
      <c r="V238" s="54"/>
      <c r="W238" s="54">
        <v>10</v>
      </c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>
        <v>100</v>
      </c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>
        <v>53.4</v>
      </c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54"/>
      <c r="FL238" s="54"/>
      <c r="FM238" s="54"/>
      <c r="FN238" s="54"/>
      <c r="FO238" s="54"/>
      <c r="FP238" s="54"/>
      <c r="FQ238" s="54"/>
      <c r="FR238" s="54"/>
      <c r="FS238" s="54"/>
      <c r="FT238" s="54"/>
      <c r="FU238" s="54"/>
      <c r="FV238" s="54"/>
    </row>
    <row r="239" spans="1:178" ht="20.25">
      <c r="A239">
        <v>259</v>
      </c>
      <c r="B239" s="54" t="s">
        <v>413</v>
      </c>
      <c r="C239" s="54">
        <v>48.3</v>
      </c>
      <c r="D239" s="54"/>
      <c r="E239" s="54"/>
      <c r="F239" s="54"/>
      <c r="G239" s="54"/>
      <c r="H239" s="54"/>
      <c r="I239" s="54"/>
      <c r="J239" s="54"/>
      <c r="K239" s="54">
        <v>1</v>
      </c>
      <c r="L239" s="54"/>
      <c r="M239" s="54"/>
      <c r="N239" s="54">
        <v>2</v>
      </c>
      <c r="O239" s="54">
        <v>28.5</v>
      </c>
      <c r="P239" s="54"/>
      <c r="Q239" s="54"/>
      <c r="R239" s="54"/>
      <c r="S239" s="54"/>
      <c r="T239" s="54"/>
      <c r="U239" s="54"/>
      <c r="V239" s="54"/>
      <c r="W239" s="54">
        <v>1.6</v>
      </c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>
        <v>75</v>
      </c>
      <c r="AS239" s="54"/>
      <c r="AT239" s="54">
        <v>6</v>
      </c>
      <c r="AU239" s="54">
        <v>6.7</v>
      </c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>
        <v>100</v>
      </c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</row>
    <row r="240" spans="1:178" ht="20.25">
      <c r="A240">
        <v>67</v>
      </c>
      <c r="B240" s="55" t="s">
        <v>356</v>
      </c>
      <c r="C240" s="55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>
        <v>0.1</v>
      </c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>
        <v>8.9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>
        <v>75</v>
      </c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  <c r="FP240" s="54"/>
      <c r="FQ240" s="54"/>
      <c r="FR240" s="54"/>
      <c r="FS240" s="54"/>
      <c r="FT240" s="54"/>
      <c r="FU240" s="54"/>
      <c r="FV240" s="54"/>
    </row>
    <row r="241" spans="1:178" ht="20.25">
      <c r="A241">
        <v>66</v>
      </c>
      <c r="B241" s="55" t="s">
        <v>355</v>
      </c>
      <c r="C241" s="55"/>
      <c r="D241" s="54">
        <v>100.4</v>
      </c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>
        <v>0.1</v>
      </c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>
        <v>8.9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>
        <v>75</v>
      </c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DT241" s="54"/>
      <c r="DU241" s="54"/>
      <c r="DV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54"/>
      <c r="FL241" s="54"/>
      <c r="FM241" s="54"/>
      <c r="FN241" s="54"/>
      <c r="FO241" s="54"/>
      <c r="FP241" s="54"/>
      <c r="FQ241" s="54"/>
      <c r="FR241" s="54"/>
      <c r="FS241" s="54"/>
      <c r="FT241" s="54"/>
      <c r="FU241" s="54"/>
      <c r="FV241" s="54"/>
    </row>
    <row r="242" spans="1:178" ht="20.25">
      <c r="A242">
        <v>68</v>
      </c>
      <c r="B242" s="55" t="s">
        <v>357</v>
      </c>
      <c r="C242" s="55"/>
      <c r="D242" s="54"/>
      <c r="E242" s="54"/>
      <c r="F242" s="54"/>
      <c r="G242" s="54"/>
      <c r="H242" s="54"/>
      <c r="I242" s="54">
        <v>100.7</v>
      </c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>
        <v>0.1</v>
      </c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>
        <v>17.9</v>
      </c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>
        <v>75</v>
      </c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/>
      <c r="DU242" s="54"/>
      <c r="DV242" s="54"/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54"/>
      <c r="EY242" s="54"/>
      <c r="EZ242" s="54"/>
      <c r="FA242" s="54"/>
      <c r="FB242" s="54"/>
      <c r="FC242" s="54"/>
      <c r="FD242" s="54"/>
      <c r="FE242" s="54"/>
      <c r="FF242" s="54"/>
      <c r="FG242" s="54"/>
      <c r="FH242" s="54"/>
      <c r="FI242" s="54"/>
      <c r="FJ242" s="54"/>
      <c r="FK242" s="54"/>
      <c r="FL242" s="54"/>
      <c r="FM242" s="54"/>
      <c r="FN242" s="54"/>
      <c r="FO242" s="54"/>
      <c r="FP242" s="54"/>
      <c r="FQ242" s="54"/>
      <c r="FR242" s="54"/>
      <c r="FS242" s="54"/>
      <c r="FT242" s="54"/>
      <c r="FU242" s="54"/>
      <c r="FV242" s="54"/>
    </row>
    <row r="243" spans="1:178" ht="20.25">
      <c r="A243">
        <v>217</v>
      </c>
      <c r="B243" s="54" t="s">
        <v>287</v>
      </c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>
        <v>2.3</v>
      </c>
      <c r="O243" s="54"/>
      <c r="P243" s="54"/>
      <c r="Q243" s="54"/>
      <c r="R243" s="54"/>
      <c r="S243" s="54"/>
      <c r="T243" s="54"/>
      <c r="U243" s="54">
        <v>1</v>
      </c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>
        <v>2.3</v>
      </c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>
        <v>50</v>
      </c>
      <c r="BQ243" s="54"/>
      <c r="BR243" s="54">
        <v>10</v>
      </c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/>
      <c r="DU243" s="54"/>
      <c r="DV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54"/>
      <c r="FL243" s="54"/>
      <c r="FM243" s="54"/>
      <c r="FN243" s="54"/>
      <c r="FO243" s="54"/>
      <c r="FP243" s="54"/>
      <c r="FQ243" s="54"/>
      <c r="FR243" s="54"/>
      <c r="FS243" s="54"/>
      <c r="FT243" s="54"/>
      <c r="FU243" s="54"/>
      <c r="FV243" s="54"/>
    </row>
    <row r="244" spans="1:178" ht="20.25">
      <c r="A244">
        <v>81</v>
      </c>
      <c r="B244" s="55" t="s">
        <v>369</v>
      </c>
      <c r="C244" s="55"/>
      <c r="D244" s="54"/>
      <c r="E244" s="54"/>
      <c r="F244" s="54"/>
      <c r="G244" s="54"/>
      <c r="H244" s="54"/>
      <c r="I244" s="54">
        <v>86.8</v>
      </c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>
        <v>0.1</v>
      </c>
      <c r="V244" s="54"/>
      <c r="W244" s="54">
        <v>2</v>
      </c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>
        <v>75</v>
      </c>
      <c r="BQ244" s="54"/>
      <c r="BR244" s="54"/>
      <c r="BS244" s="54"/>
      <c r="BT244" s="54">
        <v>2</v>
      </c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</row>
    <row r="245" spans="1:178" ht="20.25">
      <c r="A245">
        <v>82</v>
      </c>
      <c r="B245" s="55" t="s">
        <v>370</v>
      </c>
      <c r="C245" s="55"/>
      <c r="D245" s="54"/>
      <c r="E245" s="54"/>
      <c r="F245" s="54"/>
      <c r="G245" s="54"/>
      <c r="H245" s="54"/>
      <c r="I245" s="54">
        <v>95</v>
      </c>
      <c r="J245" s="54"/>
      <c r="K245" s="54"/>
      <c r="L245" s="54"/>
      <c r="M245" s="54"/>
      <c r="N245" s="54">
        <v>4</v>
      </c>
      <c r="O245" s="54"/>
      <c r="P245" s="54"/>
      <c r="Q245" s="54"/>
      <c r="R245" s="54"/>
      <c r="S245" s="54"/>
      <c r="T245" s="54"/>
      <c r="U245" s="54"/>
      <c r="V245" s="54"/>
      <c r="W245" s="54">
        <v>8</v>
      </c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>
        <v>75</v>
      </c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54"/>
      <c r="FL245" s="54"/>
      <c r="FM245" s="54"/>
      <c r="FN245" s="54"/>
      <c r="FO245" s="54"/>
      <c r="FP245" s="54"/>
      <c r="FQ245" s="54"/>
      <c r="FR245" s="54"/>
      <c r="FS245" s="54"/>
      <c r="FT245" s="54"/>
      <c r="FU245" s="54"/>
      <c r="FV245" s="54"/>
    </row>
    <row r="246" spans="1:178" ht="20.25">
      <c r="A246">
        <v>261</v>
      </c>
      <c r="B246" s="54" t="s">
        <v>416</v>
      </c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>
        <v>30</v>
      </c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>
        <v>30</v>
      </c>
      <c r="CE246" s="54"/>
      <c r="CF246" s="54">
        <v>30</v>
      </c>
      <c r="CG246" s="54"/>
      <c r="CH246" s="54">
        <v>30</v>
      </c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54"/>
      <c r="FL246" s="54"/>
      <c r="FM246" s="54"/>
      <c r="FN246" s="54"/>
      <c r="FO246" s="54"/>
      <c r="FP246" s="54"/>
      <c r="FQ246" s="54"/>
      <c r="FR246" s="54"/>
      <c r="FS246" s="54"/>
      <c r="FT246" s="54"/>
      <c r="FU246" s="54"/>
      <c r="FV246" s="54"/>
    </row>
    <row r="247" spans="1:178" ht="20.25">
      <c r="A247">
        <v>262</v>
      </c>
      <c r="B247" s="54" t="s">
        <v>309</v>
      </c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>
        <v>30</v>
      </c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>
        <v>30</v>
      </c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>
        <v>30</v>
      </c>
      <c r="CD247" s="54"/>
      <c r="CE247" s="54">
        <v>30</v>
      </c>
      <c r="CF247" s="54"/>
      <c r="CG247" s="54">
        <v>30</v>
      </c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  <c r="FP247" s="54"/>
      <c r="FQ247" s="54"/>
      <c r="FR247" s="54"/>
      <c r="FS247" s="54"/>
      <c r="FT247" s="54"/>
      <c r="FU247" s="54"/>
      <c r="FV247" s="54"/>
    </row>
    <row r="248" spans="1:178" ht="20.25">
      <c r="A248">
        <v>106</v>
      </c>
      <c r="B248" s="55" t="s">
        <v>391</v>
      </c>
      <c r="C248" s="55"/>
      <c r="D248" s="54"/>
      <c r="E248" s="54"/>
      <c r="F248" s="54">
        <v>0.8</v>
      </c>
      <c r="G248" s="54"/>
      <c r="H248" s="54"/>
      <c r="I248" s="54"/>
      <c r="J248" s="54"/>
      <c r="K248" s="54"/>
      <c r="L248" s="54"/>
      <c r="M248" s="54">
        <v>2.4</v>
      </c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>
        <v>20</v>
      </c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>
        <v>200</v>
      </c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  <c r="ES248" s="54"/>
      <c r="ET248" s="54"/>
      <c r="EU248" s="54"/>
      <c r="EV248" s="54"/>
      <c r="EW248" s="54"/>
      <c r="EX248" s="54"/>
      <c r="EY248" s="54"/>
      <c r="EZ248" s="54"/>
      <c r="FA248" s="54"/>
      <c r="FB248" s="54"/>
      <c r="FC248" s="54"/>
      <c r="FD248" s="54"/>
      <c r="FE248" s="54"/>
      <c r="FF248" s="54"/>
      <c r="FG248" s="54"/>
      <c r="FH248" s="54"/>
      <c r="FI248" s="54"/>
      <c r="FJ248" s="54"/>
      <c r="FK248" s="54"/>
      <c r="FL248" s="54"/>
      <c r="FM248" s="54"/>
      <c r="FN248" s="54"/>
      <c r="FO248" s="54"/>
      <c r="FP248" s="54"/>
      <c r="FQ248" s="54"/>
      <c r="FR248" s="54"/>
      <c r="FS248" s="54"/>
      <c r="FT248" s="54"/>
      <c r="FU248" s="54"/>
      <c r="FV248" s="54"/>
    </row>
    <row r="249" spans="1:178" ht="20.25">
      <c r="A249">
        <v>105</v>
      </c>
      <c r="B249" s="55" t="s">
        <v>390</v>
      </c>
      <c r="C249" s="55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>
        <v>90</v>
      </c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>
        <v>9</v>
      </c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>
        <v>0.5</v>
      </c>
      <c r="BJ249" s="54"/>
      <c r="BK249" s="54"/>
      <c r="BL249" s="54"/>
      <c r="BM249" s="54">
        <v>0.5</v>
      </c>
      <c r="BN249" s="54"/>
      <c r="BO249" s="54"/>
      <c r="BP249" s="54">
        <v>150</v>
      </c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>
        <v>0.2</v>
      </c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>
        <v>0.2</v>
      </c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4"/>
      <c r="FK249" s="54"/>
      <c r="FL249" s="54"/>
      <c r="FM249" s="54"/>
      <c r="FN249" s="54"/>
      <c r="FO249" s="54"/>
      <c r="FP249" s="54"/>
      <c r="FQ249" s="54"/>
      <c r="FR249" s="54"/>
      <c r="FS249" s="54"/>
      <c r="FT249" s="54"/>
      <c r="FU249" s="54"/>
      <c r="FV249" s="54"/>
    </row>
    <row r="250" spans="1:178" ht="20.25">
      <c r="A250">
        <v>103</v>
      </c>
      <c r="B250" s="55" t="s">
        <v>389</v>
      </c>
      <c r="C250" s="55"/>
      <c r="D250" s="54"/>
      <c r="E250" s="54"/>
      <c r="F250" s="54"/>
      <c r="G250" s="54"/>
      <c r="H250" s="54"/>
      <c r="I250" s="54"/>
      <c r="J250" s="54"/>
      <c r="K250" s="54">
        <v>0.5</v>
      </c>
      <c r="L250" s="54"/>
      <c r="M250" s="54"/>
      <c r="N250" s="54">
        <v>0.2</v>
      </c>
      <c r="O250" s="54"/>
      <c r="P250" s="54"/>
      <c r="Q250" s="54"/>
      <c r="R250" s="54"/>
      <c r="S250" s="54"/>
      <c r="T250" s="54"/>
      <c r="U250" s="54"/>
      <c r="V250" s="54"/>
      <c r="W250" s="54">
        <v>1.8</v>
      </c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>
        <v>0.6</v>
      </c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>
        <v>0.6</v>
      </c>
      <c r="AU250" s="54">
        <v>3</v>
      </c>
      <c r="AV250" s="54"/>
      <c r="AW250" s="54"/>
      <c r="AX250" s="54">
        <v>3</v>
      </c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>
        <v>30</v>
      </c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  <c r="FH250" s="54"/>
      <c r="FI250" s="54"/>
      <c r="FJ250" s="54"/>
      <c r="FK250" s="54"/>
      <c r="FL250" s="54"/>
      <c r="FM250" s="54"/>
      <c r="FN250" s="54"/>
      <c r="FO250" s="54"/>
      <c r="FP250" s="54"/>
      <c r="FQ250" s="54"/>
      <c r="FR250" s="54"/>
      <c r="FS250" s="54"/>
      <c r="FT250" s="54"/>
      <c r="FU250" s="54"/>
      <c r="FV250" s="54"/>
    </row>
    <row r="251" spans="1:178" ht="20.25">
      <c r="A251">
        <v>104</v>
      </c>
      <c r="B251" s="55" t="s">
        <v>513</v>
      </c>
      <c r="C251" s="55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>
        <v>26</v>
      </c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>
        <v>0.2</v>
      </c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>
        <v>0.2</v>
      </c>
      <c r="BO251" s="54"/>
      <c r="BP251" s="54">
        <v>200</v>
      </c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  <c r="FP251" s="54"/>
      <c r="FQ251" s="54"/>
      <c r="FR251" s="54"/>
      <c r="FS251" s="54"/>
      <c r="FT251" s="54"/>
      <c r="FU251" s="54"/>
      <c r="FV251" s="54"/>
    </row>
    <row r="252" spans="1:178" ht="20.25">
      <c r="A252">
        <v>65</v>
      </c>
      <c r="B252" s="55" t="s">
        <v>274</v>
      </c>
      <c r="C252" s="55"/>
      <c r="D252" s="54"/>
      <c r="E252" s="54">
        <v>63</v>
      </c>
      <c r="F252" s="54"/>
      <c r="G252" s="54"/>
      <c r="H252" s="54"/>
      <c r="I252" s="54"/>
      <c r="J252" s="54"/>
      <c r="K252" s="54"/>
      <c r="L252" s="54"/>
      <c r="M252" s="54"/>
      <c r="N252" s="54">
        <v>4.5</v>
      </c>
      <c r="O252" s="54"/>
      <c r="P252" s="54"/>
      <c r="Q252" s="54"/>
      <c r="R252" s="54"/>
      <c r="S252" s="54"/>
      <c r="T252" s="54"/>
      <c r="U252" s="54"/>
      <c r="V252" s="54"/>
      <c r="W252" s="54">
        <v>1</v>
      </c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>
        <v>45</v>
      </c>
      <c r="AU252" s="54"/>
      <c r="AV252" s="54"/>
      <c r="AW252" s="54"/>
      <c r="AX252" s="54">
        <v>8.4</v>
      </c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>
        <v>75</v>
      </c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  <c r="ES252" s="54"/>
      <c r="ET252" s="54"/>
      <c r="EU252" s="54"/>
      <c r="EV252" s="54"/>
      <c r="EW252" s="54"/>
      <c r="EX252" s="54"/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4"/>
      <c r="FK252" s="54"/>
      <c r="FL252" s="54"/>
      <c r="FM252" s="54"/>
      <c r="FN252" s="54"/>
      <c r="FO252" s="54"/>
      <c r="FP252" s="54"/>
      <c r="FQ252" s="54"/>
      <c r="FR252" s="54"/>
      <c r="FS252" s="54"/>
      <c r="FT252" s="54"/>
      <c r="FU252" s="54"/>
      <c r="FV252" s="54"/>
    </row>
    <row r="253" spans="1:178" ht="20.25">
      <c r="A253">
        <v>204</v>
      </c>
      <c r="B253" s="54" t="s">
        <v>274</v>
      </c>
      <c r="C253" s="54"/>
      <c r="D253" s="54"/>
      <c r="E253" s="54">
        <v>70.5</v>
      </c>
      <c r="F253" s="54"/>
      <c r="G253" s="54"/>
      <c r="H253" s="54"/>
      <c r="I253" s="54"/>
      <c r="J253" s="54"/>
      <c r="K253" s="54"/>
      <c r="L253" s="54"/>
      <c r="M253" s="54"/>
      <c r="N253" s="54">
        <v>3</v>
      </c>
      <c r="O253" s="54"/>
      <c r="P253" s="54"/>
      <c r="Q253" s="54"/>
      <c r="R253" s="54"/>
      <c r="S253" s="54"/>
      <c r="T253" s="54"/>
      <c r="U253" s="54"/>
      <c r="V253" s="54"/>
      <c r="W253" s="54">
        <v>1</v>
      </c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>
        <v>48</v>
      </c>
      <c r="AU253" s="54"/>
      <c r="AV253" s="54"/>
      <c r="AW253" s="54"/>
      <c r="AX253" s="54">
        <v>8</v>
      </c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>
        <v>100</v>
      </c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54"/>
      <c r="FL253" s="54"/>
      <c r="FM253" s="54"/>
      <c r="FN253" s="54"/>
      <c r="FO253" s="54"/>
      <c r="FP253" s="54"/>
      <c r="FQ253" s="54"/>
      <c r="FR253" s="54"/>
      <c r="FS253" s="54"/>
      <c r="FT253" s="54"/>
      <c r="FU253" s="54"/>
      <c r="FV253" s="54"/>
    </row>
    <row r="254" spans="1:178" ht="20.25">
      <c r="A254">
        <v>253</v>
      </c>
      <c r="B254" s="54" t="s">
        <v>407</v>
      </c>
      <c r="C254" s="54">
        <v>39.5</v>
      </c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>
        <v>3</v>
      </c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>
        <v>6</v>
      </c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>
        <v>100</v>
      </c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>
        <v>48</v>
      </c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>
        <v>0.1</v>
      </c>
      <c r="DB254" s="54"/>
      <c r="DC254" s="54"/>
      <c r="DD254" s="54"/>
      <c r="DE254" s="54">
        <v>19</v>
      </c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  <c r="FP254" s="54"/>
      <c r="FQ254" s="54"/>
      <c r="FR254" s="54"/>
      <c r="FS254" s="54"/>
      <c r="FT254" s="54"/>
      <c r="FU254" s="54"/>
      <c r="FV254" s="54"/>
    </row>
    <row r="255" spans="1:178" ht="20.25">
      <c r="A255">
        <v>212</v>
      </c>
      <c r="B255" s="54" t="s">
        <v>282</v>
      </c>
      <c r="C255" s="54"/>
      <c r="D255" s="54"/>
      <c r="E255" s="54">
        <v>72.9</v>
      </c>
      <c r="F255" s="54"/>
      <c r="G255" s="54"/>
      <c r="H255" s="54"/>
      <c r="I255" s="54"/>
      <c r="J255" s="54"/>
      <c r="K255" s="54"/>
      <c r="L255" s="54"/>
      <c r="M255" s="54"/>
      <c r="N255" s="54">
        <v>5.4</v>
      </c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>
        <v>10.8</v>
      </c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>
        <v>86.4</v>
      </c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>
        <v>0.2</v>
      </c>
      <c r="DB255" s="54"/>
      <c r="DC255" s="54"/>
      <c r="DD255" s="54"/>
      <c r="DE255" s="54">
        <v>34.2</v>
      </c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54"/>
      <c r="FL255" s="54"/>
      <c r="FM255" s="54"/>
      <c r="FN255" s="54"/>
      <c r="FO255" s="54"/>
      <c r="FP255" s="54"/>
      <c r="FQ255" s="54"/>
      <c r="FR255" s="54"/>
      <c r="FS255" s="54"/>
      <c r="FT255" s="54"/>
      <c r="FU255" s="54"/>
      <c r="FV255" s="54"/>
    </row>
    <row r="256" spans="1:178" ht="20.25">
      <c r="A256">
        <v>80</v>
      </c>
      <c r="B256" s="55" t="s">
        <v>368</v>
      </c>
      <c r="C256" s="55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>
        <v>3</v>
      </c>
      <c r="O256" s="54"/>
      <c r="P256" s="54"/>
      <c r="Q256" s="54"/>
      <c r="R256" s="54"/>
      <c r="S256" s="54"/>
      <c r="T256" s="54"/>
      <c r="U256" s="54"/>
      <c r="V256" s="54"/>
      <c r="W256" s="54">
        <v>3</v>
      </c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>
        <v>1.5</v>
      </c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>
        <v>9.4</v>
      </c>
      <c r="AU256" s="54"/>
      <c r="AV256" s="54"/>
      <c r="AW256" s="54"/>
      <c r="AX256" s="54"/>
      <c r="AY256" s="54"/>
      <c r="AZ256" s="54">
        <v>43.1</v>
      </c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>
        <v>150</v>
      </c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54"/>
      <c r="FL256" s="54"/>
      <c r="FM256" s="54"/>
      <c r="FN256" s="54"/>
      <c r="FO256" s="54"/>
      <c r="FP256" s="54"/>
      <c r="FQ256" s="54"/>
      <c r="FR256" s="54"/>
      <c r="FS256" s="54"/>
      <c r="FT256" s="54"/>
      <c r="FU256" s="54"/>
      <c r="FV256" s="54"/>
    </row>
    <row r="257" spans="1:178" ht="20.25">
      <c r="A257">
        <v>205</v>
      </c>
      <c r="B257" s="54" t="s">
        <v>275</v>
      </c>
      <c r="C257" s="54"/>
      <c r="D257" s="54"/>
      <c r="E257" s="54">
        <v>70.5</v>
      </c>
      <c r="F257" s="54"/>
      <c r="G257" s="54"/>
      <c r="H257" s="54"/>
      <c r="I257" s="54"/>
      <c r="J257" s="54"/>
      <c r="K257" s="54"/>
      <c r="L257" s="54"/>
      <c r="M257" s="54"/>
      <c r="N257" s="54">
        <v>3</v>
      </c>
      <c r="O257" s="54"/>
      <c r="P257" s="54"/>
      <c r="Q257" s="54"/>
      <c r="R257" s="54"/>
      <c r="S257" s="54"/>
      <c r="T257" s="54"/>
      <c r="U257" s="54"/>
      <c r="V257" s="54"/>
      <c r="W257" s="54"/>
      <c r="X257" s="54">
        <v>4</v>
      </c>
      <c r="Y257" s="54"/>
      <c r="Z257" s="54"/>
      <c r="AA257" s="54"/>
      <c r="AB257" s="54"/>
      <c r="AC257" s="54"/>
      <c r="AD257" s="54"/>
      <c r="AE257" s="54"/>
      <c r="AF257" s="54"/>
      <c r="AG257" s="54"/>
      <c r="AH257" s="54">
        <v>2</v>
      </c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>
        <v>12</v>
      </c>
      <c r="AU257" s="54"/>
      <c r="AV257" s="54"/>
      <c r="AW257" s="54"/>
      <c r="AX257" s="54"/>
      <c r="AY257" s="54"/>
      <c r="AZ257" s="54">
        <v>50</v>
      </c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>
        <v>100</v>
      </c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>
        <v>1</v>
      </c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  <c r="FP257" s="54"/>
      <c r="FQ257" s="54"/>
      <c r="FR257" s="54"/>
      <c r="FS257" s="54"/>
      <c r="FT257" s="54"/>
      <c r="FU257" s="54"/>
      <c r="FV257" s="54"/>
    </row>
    <row r="258" spans="1:178" ht="20.25">
      <c r="A258">
        <v>232</v>
      </c>
      <c r="B258" s="54" t="s">
        <v>313</v>
      </c>
      <c r="C258" s="54"/>
      <c r="D258" s="54"/>
      <c r="E258" s="54"/>
      <c r="F258" s="54"/>
      <c r="G258" s="54"/>
      <c r="H258" s="54"/>
      <c r="I258" s="54"/>
      <c r="J258" s="54"/>
      <c r="K258" s="54"/>
      <c r="L258" s="54">
        <v>1.4</v>
      </c>
      <c r="M258" s="54"/>
      <c r="N258" s="54">
        <v>36</v>
      </c>
      <c r="O258" s="54"/>
      <c r="P258" s="54"/>
      <c r="Q258" s="54"/>
      <c r="R258" s="54"/>
      <c r="S258" s="54"/>
      <c r="T258" s="54"/>
      <c r="U258" s="54"/>
      <c r="V258" s="54"/>
      <c r="W258" s="54">
        <v>80.4</v>
      </c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>
        <v>60</v>
      </c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>
        <v>7.5</v>
      </c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54"/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4"/>
      <c r="FK258" s="54"/>
      <c r="FL258" s="54"/>
      <c r="FM258" s="54"/>
      <c r="FN258" s="54"/>
      <c r="FO258" s="54"/>
      <c r="FP258" s="54"/>
      <c r="FQ258" s="54"/>
      <c r="FR258" s="54"/>
      <c r="FS258" s="54"/>
      <c r="FT258" s="54"/>
      <c r="FU258" s="54"/>
      <c r="FV258" s="54"/>
    </row>
    <row r="259" spans="1:178" ht="20.25">
      <c r="A259">
        <v>34</v>
      </c>
      <c r="B259" s="55" t="s">
        <v>330</v>
      </c>
      <c r="C259" s="55"/>
      <c r="D259" s="54"/>
      <c r="E259" s="54"/>
      <c r="F259" s="54"/>
      <c r="G259" s="54"/>
      <c r="H259" s="54"/>
      <c r="I259" s="54">
        <v>44.5</v>
      </c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>
        <v>71.3</v>
      </c>
      <c r="AS259" s="54"/>
      <c r="AT259" s="54">
        <v>27.5</v>
      </c>
      <c r="AU259" s="54">
        <v>10</v>
      </c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>
        <v>250</v>
      </c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54"/>
      <c r="FL259" s="54"/>
      <c r="FM259" s="54"/>
      <c r="FN259" s="54"/>
      <c r="FO259" s="54"/>
      <c r="FP259" s="54"/>
      <c r="FQ259" s="54"/>
      <c r="FR259" s="54"/>
      <c r="FS259" s="54"/>
      <c r="FT259" s="54"/>
      <c r="FU259" s="54"/>
      <c r="FV259" s="54"/>
    </row>
    <row r="260" spans="1:178" ht="20.25">
      <c r="A260">
        <v>87</v>
      </c>
      <c r="B260" s="55" t="s">
        <v>373</v>
      </c>
      <c r="C260" s="55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>
        <v>108</v>
      </c>
      <c r="AS260" s="54"/>
      <c r="AT260" s="54">
        <v>18.8</v>
      </c>
      <c r="AU260" s="54">
        <v>18.8</v>
      </c>
      <c r="AV260" s="54"/>
      <c r="AW260" s="54"/>
      <c r="AX260" s="54">
        <v>7.5</v>
      </c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>
        <v>150</v>
      </c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  <c r="ES260" s="54"/>
      <c r="ET260" s="54"/>
      <c r="EU260" s="54"/>
      <c r="EV260" s="54"/>
      <c r="EW260" s="54"/>
      <c r="EX260" s="54"/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4"/>
      <c r="FK260" s="54"/>
      <c r="FL260" s="54"/>
      <c r="FM260" s="54"/>
      <c r="FN260" s="54"/>
      <c r="FO260" s="54"/>
      <c r="FP260" s="54"/>
      <c r="FQ260" s="54"/>
      <c r="FR260" s="54"/>
      <c r="FS260" s="54"/>
      <c r="FT260" s="54"/>
      <c r="FU260" s="54"/>
      <c r="FV260" s="54"/>
    </row>
    <row r="261" spans="1:178" ht="20.25">
      <c r="A261">
        <v>219</v>
      </c>
      <c r="B261" s="54" t="s">
        <v>289</v>
      </c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>
        <v>85.5</v>
      </c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>
        <v>75</v>
      </c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DT261" s="54"/>
      <c r="DU261" s="54"/>
      <c r="DV261" s="54"/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54"/>
      <c r="FL261" s="54"/>
      <c r="FM261" s="54"/>
      <c r="FN261" s="54"/>
      <c r="FO261" s="54"/>
      <c r="FP261" s="54"/>
      <c r="FQ261" s="54"/>
      <c r="FR261" s="54"/>
      <c r="FS261" s="54"/>
      <c r="FT261" s="54"/>
      <c r="FU261" s="54"/>
      <c r="FV261" s="54"/>
    </row>
    <row r="262" spans="1:178" ht="20.25">
      <c r="A262">
        <v>230</v>
      </c>
      <c r="B262" s="54" t="s">
        <v>299</v>
      </c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>
        <v>10</v>
      </c>
      <c r="S262" s="54">
        <v>40</v>
      </c>
      <c r="T262" s="54"/>
      <c r="U262" s="54">
        <v>0.1</v>
      </c>
      <c r="V262" s="54"/>
      <c r="W262" s="54"/>
      <c r="X262" s="54">
        <v>1</v>
      </c>
      <c r="Y262" s="54"/>
      <c r="Z262" s="54"/>
      <c r="AA262" s="54"/>
      <c r="AB262" s="54"/>
      <c r="AC262" s="54"/>
      <c r="AD262" s="54"/>
      <c r="AE262" s="54"/>
      <c r="AF262" s="54"/>
      <c r="AG262" s="54"/>
      <c r="AH262" s="54">
        <v>5</v>
      </c>
      <c r="AI262" s="54"/>
      <c r="AJ262" s="54"/>
      <c r="AK262" s="54"/>
      <c r="AL262" s="54"/>
      <c r="AM262" s="54"/>
      <c r="AN262" s="54"/>
      <c r="AO262" s="54"/>
      <c r="AP262" s="54"/>
      <c r="AQ262" s="54">
        <v>80</v>
      </c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>
        <v>0.1</v>
      </c>
      <c r="BN262" s="54"/>
      <c r="BO262" s="54"/>
      <c r="BP262" s="54">
        <v>100</v>
      </c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</row>
    <row r="263" spans="1:178" ht="20.25">
      <c r="A263">
        <v>231</v>
      </c>
      <c r="B263" s="54" t="s">
        <v>300</v>
      </c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>
        <v>4</v>
      </c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>
        <v>5</v>
      </c>
      <c r="AI263" s="54"/>
      <c r="AJ263" s="54"/>
      <c r="AK263" s="54"/>
      <c r="AL263" s="54"/>
      <c r="AM263" s="54"/>
      <c r="AN263" s="54"/>
      <c r="AO263" s="54"/>
      <c r="AP263" s="54"/>
      <c r="AQ263" s="54">
        <v>66.7</v>
      </c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>
        <v>100</v>
      </c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>
        <v>9.1</v>
      </c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DT263" s="54"/>
      <c r="DU263" s="54"/>
      <c r="DV263" s="54"/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  <c r="ES263" s="54"/>
      <c r="ET263" s="54"/>
      <c r="EU263" s="54"/>
      <c r="EV263" s="54"/>
      <c r="EW263" s="54"/>
      <c r="EX263" s="54"/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4"/>
      <c r="FK263" s="54"/>
      <c r="FL263" s="54"/>
      <c r="FM263" s="54"/>
      <c r="FN263" s="54"/>
      <c r="FO263" s="54"/>
      <c r="FP263" s="54"/>
      <c r="FQ263" s="54"/>
      <c r="FR263" s="54"/>
      <c r="FS263" s="54"/>
      <c r="FT263" s="54"/>
      <c r="FU263" s="54"/>
      <c r="FV263" s="54"/>
    </row>
    <row r="264" spans="1:178" ht="20.25">
      <c r="A264">
        <v>223</v>
      </c>
      <c r="B264" s="54" t="s">
        <v>292</v>
      </c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>
        <v>50</v>
      </c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>
        <v>5</v>
      </c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>
        <v>50</v>
      </c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  <c r="FP264" s="54"/>
      <c r="FQ264" s="54"/>
      <c r="FR264" s="54"/>
      <c r="FS264" s="54"/>
      <c r="FT264" s="54"/>
      <c r="FU264" s="54"/>
      <c r="FV264" s="54"/>
    </row>
    <row r="265" spans="1:178" ht="20.25">
      <c r="A265">
        <v>57</v>
      </c>
      <c r="B265" s="55" t="s">
        <v>350</v>
      </c>
      <c r="C265" s="55"/>
      <c r="D265" s="54"/>
      <c r="E265" s="54">
        <v>104.2</v>
      </c>
      <c r="F265" s="54"/>
      <c r="G265" s="54"/>
      <c r="H265" s="54"/>
      <c r="I265" s="54"/>
      <c r="J265" s="54"/>
      <c r="K265" s="54"/>
      <c r="L265" s="54"/>
      <c r="M265" s="54"/>
      <c r="N265" s="54">
        <v>4.5</v>
      </c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>
        <v>75</v>
      </c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  <c r="FP265" s="54"/>
      <c r="FQ265" s="54"/>
      <c r="FR265" s="54"/>
      <c r="FS265" s="54"/>
      <c r="FT265" s="54"/>
      <c r="FU265" s="54"/>
      <c r="FV265" s="54"/>
    </row>
    <row r="266" spans="1:178" ht="20.25">
      <c r="A266">
        <v>31</v>
      </c>
      <c r="B266" s="55" t="s">
        <v>328</v>
      </c>
      <c r="C266" s="55"/>
      <c r="D266" s="54"/>
      <c r="E266" s="54"/>
      <c r="F266" s="54"/>
      <c r="G266" s="54"/>
      <c r="H266" s="54"/>
      <c r="I266" s="54"/>
      <c r="J266" s="54"/>
      <c r="K266" s="54">
        <v>5</v>
      </c>
      <c r="L266" s="54"/>
      <c r="M266" s="54"/>
      <c r="N266" s="54"/>
      <c r="O266" s="54"/>
      <c r="P266" s="54"/>
      <c r="Q266" s="54"/>
      <c r="R266" s="54"/>
      <c r="S266" s="54"/>
      <c r="T266" s="54"/>
      <c r="U266" s="54">
        <v>0.1</v>
      </c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>
        <v>18.8</v>
      </c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>
        <v>125</v>
      </c>
      <c r="AS266" s="54"/>
      <c r="AT266" s="54">
        <v>7.5</v>
      </c>
      <c r="AU266" s="54">
        <v>30</v>
      </c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>
        <v>0.3</v>
      </c>
      <c r="BO266" s="54"/>
      <c r="BP266" s="54">
        <v>250</v>
      </c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</row>
    <row r="267" spans="2:140" ht="23.25">
      <c r="B267" s="100" t="s">
        <v>426</v>
      </c>
      <c r="C267" s="55">
        <v>115</v>
      </c>
      <c r="D267" s="55">
        <v>130</v>
      </c>
      <c r="E267" s="55">
        <v>56</v>
      </c>
      <c r="F267" s="55">
        <v>59</v>
      </c>
      <c r="G267" s="55">
        <v>98.2</v>
      </c>
      <c r="H267" s="55">
        <v>54</v>
      </c>
      <c r="I267" s="55">
        <v>76.92</v>
      </c>
      <c r="J267" s="55">
        <v>81.22</v>
      </c>
      <c r="K267" s="55">
        <v>166.66</v>
      </c>
      <c r="L267" s="55"/>
      <c r="M267" s="55"/>
      <c r="N267" s="55">
        <v>68.478</v>
      </c>
      <c r="O267" s="55">
        <v>20.68</v>
      </c>
      <c r="P267" s="90">
        <v>80.54</v>
      </c>
      <c r="Q267" s="55">
        <v>31.21</v>
      </c>
      <c r="R267" s="55">
        <v>60.75</v>
      </c>
      <c r="S267" s="55">
        <v>46</v>
      </c>
      <c r="T267" s="55">
        <v>114.99</v>
      </c>
      <c r="U267" s="55">
        <v>4</v>
      </c>
      <c r="V267" s="55">
        <v>46.75</v>
      </c>
      <c r="W267" s="55">
        <v>15.5</v>
      </c>
      <c r="X267" s="55">
        <v>75</v>
      </c>
      <c r="Y267" s="55">
        <v>51.4</v>
      </c>
      <c r="Z267" s="55">
        <v>21.3</v>
      </c>
      <c r="AA267" s="55">
        <v>20.9</v>
      </c>
      <c r="AB267" s="55">
        <v>20.3</v>
      </c>
      <c r="AC267" s="55">
        <v>28.1</v>
      </c>
      <c r="AD267" s="55">
        <v>23</v>
      </c>
      <c r="AE267" s="55">
        <v>17.4</v>
      </c>
      <c r="AF267" s="55">
        <v>17</v>
      </c>
      <c r="AG267" s="55">
        <v>175</v>
      </c>
      <c r="AH267" s="55">
        <v>26.4</v>
      </c>
      <c r="AI267" s="55"/>
      <c r="AJ267" s="55">
        <v>35</v>
      </c>
      <c r="AK267" s="55">
        <v>62.7</v>
      </c>
      <c r="AL267" s="55">
        <v>58.24</v>
      </c>
      <c r="AM267" s="55">
        <v>52</v>
      </c>
      <c r="AN267" s="55">
        <v>90</v>
      </c>
      <c r="AO267" s="55">
        <v>27.7</v>
      </c>
      <c r="AP267" s="55">
        <v>120</v>
      </c>
      <c r="AQ267" s="55">
        <v>5.95</v>
      </c>
      <c r="AR267" s="55">
        <v>8</v>
      </c>
      <c r="AS267" s="55">
        <v>14</v>
      </c>
      <c r="AT267" s="55">
        <v>11.67</v>
      </c>
      <c r="AU267" s="55">
        <v>11.67</v>
      </c>
      <c r="AV267" s="55">
        <v>60</v>
      </c>
      <c r="AW267" s="90">
        <v>30</v>
      </c>
      <c r="AX267" s="55">
        <v>60</v>
      </c>
      <c r="AY267" s="55">
        <v>12.5</v>
      </c>
      <c r="AZ267" s="55">
        <v>16.7</v>
      </c>
      <c r="BA267" s="55">
        <v>56.4</v>
      </c>
      <c r="BB267" s="55">
        <v>27.72</v>
      </c>
      <c r="BC267" s="55">
        <v>15.7</v>
      </c>
      <c r="BD267" s="55">
        <v>150</v>
      </c>
      <c r="BE267" s="55">
        <v>14.8</v>
      </c>
      <c r="BF267" s="55">
        <v>250</v>
      </c>
      <c r="BG267" s="55">
        <v>150</v>
      </c>
      <c r="BH267" s="55">
        <v>288</v>
      </c>
      <c r="BI267" s="55">
        <v>452</v>
      </c>
      <c r="BJ267" s="55">
        <v>10.24</v>
      </c>
      <c r="BK267" s="55">
        <v>190</v>
      </c>
      <c r="BL267" s="55">
        <v>610</v>
      </c>
      <c r="BM267" s="55">
        <v>2300</v>
      </c>
      <c r="BN267" s="55">
        <v>230</v>
      </c>
      <c r="BO267" s="55">
        <v>98</v>
      </c>
      <c r="BP267" s="55"/>
      <c r="BQ267" s="55">
        <v>60</v>
      </c>
      <c r="BR267" s="55">
        <v>68</v>
      </c>
      <c r="BS267" s="55">
        <v>46</v>
      </c>
      <c r="BT267" s="55">
        <v>39</v>
      </c>
      <c r="BU267" s="55"/>
      <c r="BV267" s="55">
        <v>16.4</v>
      </c>
      <c r="BW267" s="55">
        <v>23</v>
      </c>
      <c r="BX267" s="55">
        <v>180</v>
      </c>
      <c r="BY267" s="55">
        <v>12.5</v>
      </c>
      <c r="BZ267" s="55">
        <v>23.5</v>
      </c>
      <c r="CA267" s="55">
        <v>29.6</v>
      </c>
      <c r="CB267" s="55">
        <v>40</v>
      </c>
      <c r="CC267" s="55">
        <v>27.72</v>
      </c>
      <c r="CD267" s="55">
        <v>15.7</v>
      </c>
      <c r="CE267" s="54">
        <v>27.72</v>
      </c>
      <c r="CF267" s="54">
        <v>15.7</v>
      </c>
      <c r="CG267" s="54">
        <v>27.72</v>
      </c>
      <c r="CH267" s="54"/>
      <c r="CI267" s="54">
        <v>58</v>
      </c>
      <c r="CJ267" s="54">
        <v>220</v>
      </c>
      <c r="DC267">
        <v>90</v>
      </c>
      <c r="DE267">
        <v>27</v>
      </c>
      <c r="DF267">
        <v>70</v>
      </c>
      <c r="DL267">
        <v>50.9</v>
      </c>
      <c r="DN267">
        <v>69.2</v>
      </c>
      <c r="DW267">
        <v>25.3</v>
      </c>
      <c r="DX267">
        <v>27.72</v>
      </c>
      <c r="EJ267">
        <v>60</v>
      </c>
    </row>
    <row r="268" spans="2:256" ht="22.5" customHeight="1">
      <c r="B268" s="54">
        <v>0</v>
      </c>
      <c r="HI268">
        <v>216</v>
      </c>
      <c r="HJ268">
        <v>217</v>
      </c>
      <c r="HK268">
        <v>218</v>
      </c>
      <c r="HL268">
        <v>219</v>
      </c>
      <c r="HM268">
        <v>220</v>
      </c>
      <c r="HN268">
        <v>221</v>
      </c>
      <c r="HO268">
        <v>222</v>
      </c>
      <c r="HP268">
        <v>223</v>
      </c>
      <c r="HQ268">
        <v>224</v>
      </c>
      <c r="HR268">
        <v>225</v>
      </c>
      <c r="HS268">
        <v>226</v>
      </c>
      <c r="HT268">
        <v>227</v>
      </c>
      <c r="HU268">
        <v>228</v>
      </c>
      <c r="HV268">
        <v>229</v>
      </c>
      <c r="HW268">
        <v>230</v>
      </c>
      <c r="HX268">
        <v>231</v>
      </c>
      <c r="HY268">
        <v>232</v>
      </c>
      <c r="HZ268">
        <v>233</v>
      </c>
      <c r="IA268">
        <v>234</v>
      </c>
      <c r="IB268">
        <v>235</v>
      </c>
      <c r="IC268">
        <v>236</v>
      </c>
      <c r="ID268">
        <v>237</v>
      </c>
      <c r="IE268">
        <v>238</v>
      </c>
      <c r="IF268">
        <v>239</v>
      </c>
      <c r="IG268">
        <v>240</v>
      </c>
      <c r="IH268">
        <v>241</v>
      </c>
      <c r="II268">
        <v>242</v>
      </c>
      <c r="IJ268">
        <v>243</v>
      </c>
      <c r="IK268">
        <v>244</v>
      </c>
      <c r="IL268">
        <v>245</v>
      </c>
      <c r="IM268">
        <v>246</v>
      </c>
      <c r="IN268">
        <v>247</v>
      </c>
      <c r="IO268">
        <v>248</v>
      </c>
      <c r="IP268">
        <v>249</v>
      </c>
      <c r="IQ268">
        <v>250</v>
      </c>
      <c r="IR268">
        <v>251</v>
      </c>
      <c r="IS268">
        <v>252</v>
      </c>
      <c r="IT268">
        <v>253</v>
      </c>
      <c r="IU268">
        <v>254</v>
      </c>
      <c r="IV268">
        <v>255</v>
      </c>
    </row>
    <row r="269" spans="2:128" ht="20.25">
      <c r="B269" s="54">
        <v>0</v>
      </c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</row>
    <row r="270" spans="2:3" ht="22.5" customHeight="1">
      <c r="B270" s="54">
        <v>0</v>
      </c>
      <c r="C270" s="54"/>
    </row>
    <row r="271" spans="2:3" ht="22.5" customHeight="1">
      <c r="B271" s="54">
        <v>0</v>
      </c>
      <c r="C271" s="54"/>
    </row>
    <row r="272" spans="2:3" ht="22.5" customHeight="1">
      <c r="B272" s="54">
        <v>0</v>
      </c>
      <c r="C272" s="54"/>
    </row>
    <row r="273" spans="2:3" ht="22.5" customHeight="1">
      <c r="B273" s="54">
        <v>0</v>
      </c>
      <c r="C273" s="54"/>
    </row>
    <row r="274" spans="2:3" ht="22.5" customHeight="1">
      <c r="B274" s="54">
        <v>0</v>
      </c>
      <c r="C274" s="54"/>
    </row>
    <row r="275" spans="2:3" ht="22.5" customHeight="1">
      <c r="B275" s="54">
        <v>0</v>
      </c>
      <c r="C275" s="54"/>
    </row>
    <row r="276" spans="2:3" ht="22.5" customHeight="1">
      <c r="B276" s="54">
        <v>0</v>
      </c>
      <c r="C276" s="54"/>
    </row>
    <row r="277" spans="2:3" ht="22.5" customHeight="1">
      <c r="B277" s="54">
        <v>0</v>
      </c>
      <c r="C277" s="54"/>
    </row>
    <row r="278" spans="2:3" ht="22.5" customHeight="1">
      <c r="B278" s="54">
        <v>0</v>
      </c>
      <c r="C278" s="54"/>
    </row>
    <row r="279" spans="2:3" ht="22.5" customHeight="1">
      <c r="B279" s="54">
        <v>0</v>
      </c>
      <c r="C279" s="54"/>
    </row>
    <row r="280" spans="2:3" ht="22.5" customHeight="1">
      <c r="B280" s="54">
        <v>0</v>
      </c>
      <c r="C280" s="54"/>
    </row>
    <row r="281" spans="2:3" ht="22.5" customHeight="1">
      <c r="B281" s="54">
        <v>0</v>
      </c>
      <c r="C281" s="54"/>
    </row>
    <row r="282" spans="2:3" ht="22.5" customHeight="1">
      <c r="B282" s="54">
        <v>0</v>
      </c>
      <c r="C282" s="54"/>
    </row>
    <row r="283" spans="2:3" ht="22.5" customHeight="1">
      <c r="B283" s="54">
        <v>0</v>
      </c>
      <c r="C283" s="54"/>
    </row>
    <row r="284" spans="2:3" ht="22.5" customHeight="1">
      <c r="B284" s="54">
        <v>0</v>
      </c>
      <c r="C284" s="54"/>
    </row>
    <row r="285" spans="2:3" ht="22.5" customHeight="1">
      <c r="B285" s="54">
        <v>0</v>
      </c>
      <c r="C285" s="54"/>
    </row>
    <row r="286" spans="2:3" ht="22.5" customHeight="1">
      <c r="B286" s="54">
        <v>0</v>
      </c>
      <c r="C286" s="54"/>
    </row>
    <row r="287" spans="2:3" ht="22.5" customHeight="1">
      <c r="B287" s="54">
        <v>0</v>
      </c>
      <c r="C287" s="54"/>
    </row>
    <row r="288" spans="2:3" ht="22.5" customHeight="1">
      <c r="B288" s="54">
        <v>0</v>
      </c>
      <c r="C288" s="54"/>
    </row>
    <row r="289" spans="2:3" ht="22.5" customHeight="1">
      <c r="B289" s="54">
        <v>0</v>
      </c>
      <c r="C289" s="54"/>
    </row>
    <row r="290" spans="2:3" ht="22.5" customHeight="1">
      <c r="B290" s="54">
        <v>0</v>
      </c>
      <c r="C290" s="54"/>
    </row>
    <row r="291" spans="2:3" ht="22.5" customHeight="1">
      <c r="B291" s="54">
        <v>0</v>
      </c>
      <c r="C291" s="54"/>
    </row>
    <row r="292" spans="2:3" ht="22.5" customHeight="1">
      <c r="B292" s="54">
        <v>0</v>
      </c>
      <c r="C292" s="54"/>
    </row>
    <row r="293" spans="2:3" ht="22.5" customHeight="1">
      <c r="B293" s="54">
        <v>0</v>
      </c>
      <c r="C293" s="54"/>
    </row>
    <row r="294" spans="2:3" ht="22.5" customHeight="1">
      <c r="B294" s="54">
        <v>0</v>
      </c>
      <c r="C294" s="54"/>
    </row>
    <row r="295" spans="2:3" ht="22.5" customHeight="1">
      <c r="B295" s="54">
        <v>0</v>
      </c>
      <c r="C295" s="54"/>
    </row>
    <row r="296" spans="2:3" ht="22.5" customHeight="1">
      <c r="B296" s="54">
        <v>0</v>
      </c>
      <c r="C296" s="54"/>
    </row>
    <row r="297" spans="2:68" ht="22.5" customHeight="1">
      <c r="B297" s="54">
        <v>0</v>
      </c>
      <c r="C297" s="54"/>
      <c r="BP297" s="54"/>
    </row>
    <row r="298" spans="2:3" ht="22.5" customHeight="1">
      <c r="B298" s="54">
        <v>0</v>
      </c>
      <c r="C298" s="54"/>
    </row>
    <row r="299" spans="2:3" ht="22.5" customHeight="1">
      <c r="B299" s="54">
        <v>0</v>
      </c>
      <c r="C299" s="54"/>
    </row>
    <row r="300" spans="2:3" ht="22.5" customHeight="1">
      <c r="B300" s="54">
        <v>0</v>
      </c>
      <c r="C300" s="54"/>
    </row>
    <row r="301" spans="2:3" ht="22.5" customHeight="1">
      <c r="B301" s="54">
        <v>0</v>
      </c>
      <c r="C301" s="54"/>
    </row>
    <row r="302" spans="2:3" ht="22.5" customHeight="1">
      <c r="B302" s="54">
        <v>0</v>
      </c>
      <c r="C302" s="54"/>
    </row>
    <row r="303" spans="2:3" ht="22.5" customHeight="1">
      <c r="B303" s="54">
        <v>0</v>
      </c>
      <c r="C303" s="54"/>
    </row>
    <row r="304" spans="2:3" ht="22.5" customHeight="1">
      <c r="B304" s="54">
        <v>0</v>
      </c>
      <c r="C304" s="54"/>
    </row>
    <row r="305" spans="2:3" ht="22.5" customHeight="1">
      <c r="B305" s="54">
        <v>0</v>
      </c>
      <c r="C305" s="54"/>
    </row>
    <row r="306" spans="2:3" ht="22.5" customHeight="1">
      <c r="B306" s="54">
        <v>0</v>
      </c>
      <c r="C306" s="54"/>
    </row>
    <row r="307" spans="2:68" ht="22.5" customHeight="1">
      <c r="B307" s="54">
        <v>0</v>
      </c>
      <c r="C307" s="54"/>
      <c r="BP307" s="54"/>
    </row>
    <row r="308" spans="2:3" ht="22.5" customHeight="1">
      <c r="B308" s="54">
        <v>0</v>
      </c>
      <c r="C308" s="54"/>
    </row>
    <row r="309" spans="2:3" ht="22.5" customHeight="1">
      <c r="B309" s="54">
        <v>0</v>
      </c>
      <c r="C309" s="54"/>
    </row>
    <row r="310" spans="2:3" ht="22.5" customHeight="1">
      <c r="B310" s="54">
        <v>0</v>
      </c>
      <c r="C310" s="54"/>
    </row>
    <row r="311" spans="2:3" ht="22.5" customHeight="1">
      <c r="B311" s="54">
        <v>0</v>
      </c>
      <c r="C311" s="54"/>
    </row>
    <row r="312" spans="2:3" ht="22.5" customHeight="1">
      <c r="B312" s="54">
        <v>0</v>
      </c>
      <c r="C312" s="54"/>
    </row>
    <row r="313" spans="2:3" ht="22.5" customHeight="1">
      <c r="B313" s="54">
        <v>0</v>
      </c>
      <c r="C313" s="54"/>
    </row>
    <row r="314" spans="2:3" ht="22.5" customHeight="1">
      <c r="B314" s="54">
        <v>0</v>
      </c>
      <c r="C314" s="54"/>
    </row>
    <row r="315" spans="2:3" ht="22.5" customHeight="1">
      <c r="B315" s="54">
        <v>0</v>
      </c>
      <c r="C315" s="54"/>
    </row>
    <row r="316" spans="2:3" ht="22.5" customHeight="1">
      <c r="B316" s="54">
        <v>0</v>
      </c>
      <c r="C316" s="54"/>
    </row>
    <row r="317" spans="2:3" ht="22.5" customHeight="1">
      <c r="B317" s="54">
        <v>0</v>
      </c>
      <c r="C317" s="54"/>
    </row>
    <row r="318" spans="2:3" ht="22.5" customHeight="1">
      <c r="B318" s="54">
        <v>0</v>
      </c>
      <c r="C318" s="54"/>
    </row>
    <row r="319" spans="2:3" ht="22.5" customHeight="1">
      <c r="B319" s="54">
        <v>0</v>
      </c>
      <c r="C319" s="54"/>
    </row>
    <row r="320" spans="2:3" ht="22.5" customHeight="1">
      <c r="B320" s="54">
        <v>0</v>
      </c>
      <c r="C320" s="54"/>
    </row>
    <row r="321" spans="2:3" ht="22.5" customHeight="1">
      <c r="B321" s="54">
        <v>0</v>
      </c>
      <c r="C321" s="54"/>
    </row>
    <row r="322" spans="2:3" ht="22.5" customHeight="1">
      <c r="B322" s="54">
        <v>0</v>
      </c>
      <c r="C322" s="54"/>
    </row>
    <row r="323" spans="2:3" ht="22.5" customHeight="1">
      <c r="B323" s="54">
        <v>0</v>
      </c>
      <c r="C323" s="54"/>
    </row>
    <row r="324" spans="2:3" ht="22.5" customHeight="1">
      <c r="B324" s="54">
        <v>0</v>
      </c>
      <c r="C324" s="54"/>
    </row>
    <row r="325" spans="2:3" ht="22.5" customHeight="1">
      <c r="B325" s="54">
        <v>0</v>
      </c>
      <c r="C325" s="54"/>
    </row>
    <row r="326" spans="2:3" ht="22.5" customHeight="1">
      <c r="B326" s="54">
        <v>0</v>
      </c>
      <c r="C326" s="54"/>
    </row>
    <row r="327" spans="2:3" ht="22.5" customHeight="1">
      <c r="B327" s="54">
        <v>0</v>
      </c>
      <c r="C327" s="54"/>
    </row>
    <row r="328" spans="2:3" ht="22.5" customHeight="1">
      <c r="B328" s="54">
        <v>0</v>
      </c>
      <c r="C328" s="54"/>
    </row>
    <row r="329" spans="2:3" ht="22.5" customHeight="1">
      <c r="B329" s="54">
        <v>0</v>
      </c>
      <c r="C329" s="54"/>
    </row>
    <row r="330" spans="2:3" ht="22.5" customHeight="1">
      <c r="B330" s="54">
        <v>0</v>
      </c>
      <c r="C330" s="54"/>
    </row>
    <row r="331" spans="2:3" ht="22.5" customHeight="1">
      <c r="B331" s="54">
        <v>0</v>
      </c>
      <c r="C331" s="54"/>
    </row>
    <row r="332" spans="2:3" ht="22.5" customHeight="1">
      <c r="B332" s="54">
        <v>0</v>
      </c>
      <c r="C332" s="54"/>
    </row>
    <row r="333" spans="2:3" ht="22.5" customHeight="1">
      <c r="B333" s="54">
        <v>0</v>
      </c>
      <c r="C333" s="54"/>
    </row>
    <row r="334" spans="2:3" ht="22.5" customHeight="1">
      <c r="B334" s="54">
        <v>0</v>
      </c>
      <c r="C334" s="54"/>
    </row>
    <row r="335" spans="2:3" ht="22.5" customHeight="1">
      <c r="B335" s="54">
        <v>0</v>
      </c>
      <c r="C335" s="54"/>
    </row>
    <row r="336" spans="2:3" ht="22.5" customHeight="1">
      <c r="B336" s="54">
        <v>0</v>
      </c>
      <c r="C336" s="54"/>
    </row>
    <row r="337" spans="2:3" ht="22.5" customHeight="1">
      <c r="B337" s="54">
        <v>0</v>
      </c>
      <c r="C337" s="54"/>
    </row>
    <row r="338" spans="2:3" ht="22.5" customHeight="1">
      <c r="B338" s="54">
        <v>0</v>
      </c>
      <c r="C338" s="54"/>
    </row>
    <row r="339" spans="2:3" ht="22.5" customHeight="1">
      <c r="B339" s="54">
        <v>0</v>
      </c>
      <c r="C339" s="54"/>
    </row>
    <row r="340" spans="2:3" ht="22.5" customHeight="1">
      <c r="B340" s="54">
        <v>0</v>
      </c>
      <c r="C340" s="54"/>
    </row>
    <row r="341" spans="2:3" ht="22.5" customHeight="1">
      <c r="B341" s="54">
        <v>0</v>
      </c>
      <c r="C341" s="54"/>
    </row>
    <row r="342" spans="2:3" ht="22.5" customHeight="1">
      <c r="B342" s="54">
        <v>0</v>
      </c>
      <c r="C342" s="54"/>
    </row>
    <row r="343" spans="2:3" ht="22.5" customHeight="1">
      <c r="B343" s="54">
        <v>0</v>
      </c>
      <c r="C343" s="54"/>
    </row>
    <row r="344" spans="2:3" ht="22.5" customHeight="1">
      <c r="B344" s="54">
        <v>0</v>
      </c>
      <c r="C344" s="54"/>
    </row>
    <row r="345" spans="2:3" ht="22.5" customHeight="1">
      <c r="B345" s="54">
        <v>0</v>
      </c>
      <c r="C345" s="54"/>
    </row>
    <row r="346" spans="2:3" ht="22.5" customHeight="1">
      <c r="B346" s="54">
        <v>0</v>
      </c>
      <c r="C346" s="54"/>
    </row>
    <row r="347" spans="2:3" ht="22.5" customHeight="1">
      <c r="B347" s="54">
        <v>0</v>
      </c>
      <c r="C347" s="54"/>
    </row>
    <row r="348" spans="2:3" ht="22.5" customHeight="1">
      <c r="B348" s="54">
        <v>0</v>
      </c>
      <c r="C348" s="54"/>
    </row>
    <row r="349" spans="2:3" ht="22.5" customHeight="1">
      <c r="B349" s="54">
        <v>0</v>
      </c>
      <c r="C349" s="54"/>
    </row>
    <row r="350" spans="2:3" ht="22.5" customHeight="1">
      <c r="B350" s="54">
        <v>0</v>
      </c>
      <c r="C350" s="54"/>
    </row>
    <row r="351" spans="2:68" ht="22.5" customHeight="1">
      <c r="B351" s="54">
        <v>0</v>
      </c>
      <c r="C351" s="54"/>
      <c r="BP351" s="54"/>
    </row>
    <row r="352" spans="2:3" ht="22.5" customHeight="1">
      <c r="B352" s="54">
        <v>0</v>
      </c>
      <c r="C352" s="54"/>
    </row>
    <row r="353" spans="2:3" ht="22.5" customHeight="1">
      <c r="B353" s="54">
        <v>0</v>
      </c>
      <c r="C353" s="54"/>
    </row>
    <row r="354" spans="2:3" ht="22.5" customHeight="1">
      <c r="B354" s="54">
        <v>0</v>
      </c>
      <c r="C354" s="54"/>
    </row>
    <row r="355" spans="2:3" ht="22.5" customHeight="1">
      <c r="B355" s="54">
        <v>0</v>
      </c>
      <c r="C355" s="54"/>
    </row>
    <row r="356" spans="2:3" ht="22.5" customHeight="1">
      <c r="B356" s="54">
        <v>0</v>
      </c>
      <c r="C356" s="54"/>
    </row>
    <row r="357" spans="2:68" ht="22.5" customHeight="1">
      <c r="B357" s="54">
        <v>0</v>
      </c>
      <c r="C357" s="54"/>
      <c r="BP357" s="54"/>
    </row>
    <row r="358" spans="2:3" ht="22.5" customHeight="1">
      <c r="B358" s="54">
        <v>0</v>
      </c>
      <c r="C358" s="54"/>
    </row>
    <row r="359" spans="2:3" ht="22.5" customHeight="1">
      <c r="B359" s="54">
        <v>0</v>
      </c>
      <c r="C359" s="54"/>
    </row>
    <row r="360" spans="2:3" ht="22.5" customHeight="1">
      <c r="B360" s="54">
        <v>0</v>
      </c>
      <c r="C360" s="54"/>
    </row>
    <row r="361" spans="2:3" ht="22.5" customHeight="1">
      <c r="B361" s="54">
        <v>0</v>
      </c>
      <c r="C361" s="54"/>
    </row>
    <row r="362" spans="2:3" ht="22.5" customHeight="1">
      <c r="B362" s="54">
        <v>0</v>
      </c>
      <c r="C362" s="54"/>
    </row>
    <row r="363" spans="2:3" ht="22.5" customHeight="1">
      <c r="B363" s="54">
        <v>0</v>
      </c>
      <c r="C363" s="54"/>
    </row>
    <row r="364" spans="2:68" ht="22.5" customHeight="1">
      <c r="B364" s="54">
        <v>0</v>
      </c>
      <c r="C364" s="54"/>
      <c r="BP364" s="54"/>
    </row>
    <row r="365" spans="2:3" ht="22.5" customHeight="1">
      <c r="B365" s="54">
        <v>0</v>
      </c>
      <c r="C365" s="54"/>
    </row>
    <row r="366" spans="2:3" ht="22.5" customHeight="1">
      <c r="B366" s="54">
        <v>0</v>
      </c>
      <c r="C366" s="54"/>
    </row>
    <row r="367" spans="2:3" ht="22.5" customHeight="1">
      <c r="B367" s="54">
        <v>0</v>
      </c>
      <c r="C367" s="54"/>
    </row>
    <row r="368" spans="2:3" ht="22.5" customHeight="1">
      <c r="B368" s="54">
        <v>0</v>
      </c>
      <c r="C368" s="54"/>
    </row>
    <row r="369" spans="2:3" ht="22.5" customHeight="1">
      <c r="B369" s="54">
        <v>0</v>
      </c>
      <c r="C369" s="54"/>
    </row>
    <row r="370" spans="2:3" ht="22.5" customHeight="1">
      <c r="B370" s="54">
        <v>0</v>
      </c>
      <c r="C370" s="54"/>
    </row>
    <row r="371" spans="2:3" ht="22.5" customHeight="1">
      <c r="B371" s="54">
        <v>0</v>
      </c>
      <c r="C371" s="54"/>
    </row>
    <row r="372" spans="2:3" ht="22.5" customHeight="1">
      <c r="B372" s="54">
        <v>0</v>
      </c>
      <c r="C372" s="54"/>
    </row>
    <row r="373" spans="2:3" ht="22.5" customHeight="1">
      <c r="B373" s="54">
        <v>0</v>
      </c>
      <c r="C373" s="54"/>
    </row>
    <row r="374" spans="2:3" ht="22.5" customHeight="1">
      <c r="B374" s="54">
        <v>0</v>
      </c>
      <c r="C374" s="54"/>
    </row>
    <row r="375" spans="2:3" ht="22.5" customHeight="1">
      <c r="B375" s="54">
        <v>0</v>
      </c>
      <c r="C375" s="54"/>
    </row>
    <row r="376" spans="2:3" ht="22.5" customHeight="1">
      <c r="B376" s="54">
        <v>0</v>
      </c>
      <c r="C376" s="54"/>
    </row>
    <row r="377" spans="2:3" ht="22.5" customHeight="1">
      <c r="B377" s="54">
        <v>0</v>
      </c>
      <c r="C377" s="54"/>
    </row>
    <row r="378" spans="2:3" ht="22.5" customHeight="1">
      <c r="B378" s="54">
        <v>0</v>
      </c>
      <c r="C378" s="54"/>
    </row>
    <row r="379" spans="2:3" ht="22.5" customHeight="1">
      <c r="B379" s="54">
        <v>0</v>
      </c>
      <c r="C379" s="54"/>
    </row>
    <row r="380" spans="2:3" ht="22.5" customHeight="1">
      <c r="B380" s="54">
        <v>0</v>
      </c>
      <c r="C380" s="54"/>
    </row>
    <row r="381" spans="2:3" ht="22.5" customHeight="1">
      <c r="B381" s="54">
        <v>0</v>
      </c>
      <c r="C381" s="54"/>
    </row>
    <row r="382" spans="2:3" ht="22.5" customHeight="1">
      <c r="B382" s="54">
        <v>0</v>
      </c>
      <c r="C382" s="54"/>
    </row>
    <row r="383" spans="2:3" ht="22.5" customHeight="1">
      <c r="B383" s="54">
        <v>0</v>
      </c>
      <c r="C383" s="54"/>
    </row>
    <row r="384" spans="2:3" ht="22.5" customHeight="1">
      <c r="B384" s="54">
        <v>0</v>
      </c>
      <c r="C384" s="54"/>
    </row>
    <row r="385" spans="2:3" ht="22.5" customHeight="1">
      <c r="B385" s="54">
        <v>0</v>
      </c>
      <c r="C385" s="54"/>
    </row>
    <row r="386" spans="2:3" ht="22.5" customHeight="1">
      <c r="B386" s="54">
        <v>0</v>
      </c>
      <c r="C386" s="54"/>
    </row>
    <row r="387" spans="2:3" ht="22.5" customHeight="1">
      <c r="B387" s="54">
        <v>0</v>
      </c>
      <c r="C387" s="54"/>
    </row>
    <row r="388" spans="2:3" ht="22.5" customHeight="1">
      <c r="B388" s="54">
        <v>0</v>
      </c>
      <c r="C388" s="54"/>
    </row>
    <row r="389" spans="2:3" ht="22.5" customHeight="1">
      <c r="B389" s="54">
        <v>0</v>
      </c>
      <c r="C389" s="54"/>
    </row>
    <row r="390" spans="2:3" ht="22.5" customHeight="1">
      <c r="B390" s="54">
        <v>0</v>
      </c>
      <c r="C390" s="54"/>
    </row>
    <row r="391" spans="2:3" ht="22.5" customHeight="1">
      <c r="B391" s="54">
        <v>0</v>
      </c>
      <c r="C391" s="54"/>
    </row>
    <row r="392" spans="2:3" ht="22.5" customHeight="1">
      <c r="B392" s="54">
        <v>0</v>
      </c>
      <c r="C392" s="54"/>
    </row>
    <row r="393" spans="2:3" ht="22.5" customHeight="1">
      <c r="B393" s="54">
        <v>0</v>
      </c>
      <c r="C393" s="54"/>
    </row>
    <row r="394" spans="2:3" ht="22.5" customHeight="1">
      <c r="B394" s="54">
        <v>0</v>
      </c>
      <c r="C394" s="54"/>
    </row>
    <row r="395" spans="2:3" ht="22.5" customHeight="1">
      <c r="B395" s="54">
        <v>0</v>
      </c>
      <c r="C395" s="54"/>
    </row>
    <row r="396" spans="2:3" ht="22.5" customHeight="1">
      <c r="B396" s="54">
        <v>0</v>
      </c>
      <c r="C396" s="54"/>
    </row>
    <row r="397" ht="22.5" customHeight="1">
      <c r="B397" s="54">
        <v>0</v>
      </c>
    </row>
    <row r="398" ht="22.5" customHeight="1">
      <c r="B398" s="54">
        <v>0</v>
      </c>
    </row>
    <row r="399" ht="22.5" customHeight="1">
      <c r="B399" s="54">
        <v>0</v>
      </c>
    </row>
    <row r="400" ht="22.5" customHeight="1">
      <c r="B400" s="54">
        <v>0</v>
      </c>
    </row>
    <row r="401" ht="22.5" customHeight="1">
      <c r="B401" s="54">
        <v>0</v>
      </c>
    </row>
    <row r="402" ht="22.5" customHeight="1">
      <c r="B402" s="54">
        <v>0</v>
      </c>
    </row>
    <row r="403" ht="22.5" customHeight="1">
      <c r="B403" s="54">
        <v>0</v>
      </c>
    </row>
    <row r="404" ht="22.5" customHeight="1">
      <c r="B404" s="54">
        <v>0</v>
      </c>
    </row>
    <row r="405" ht="22.5" customHeight="1">
      <c r="B405" s="54">
        <v>0</v>
      </c>
    </row>
    <row r="406" ht="22.5" customHeight="1">
      <c r="B406" s="54">
        <v>0</v>
      </c>
    </row>
    <row r="407" ht="22.5" customHeight="1">
      <c r="B407" s="54">
        <v>0</v>
      </c>
    </row>
    <row r="408" ht="22.5" customHeight="1">
      <c r="B408" s="54">
        <v>0</v>
      </c>
    </row>
    <row r="409" ht="22.5" customHeight="1">
      <c r="B409" s="54">
        <v>0</v>
      </c>
    </row>
    <row r="410" ht="22.5" customHeight="1">
      <c r="B410" s="54">
        <v>0</v>
      </c>
    </row>
    <row r="411" ht="22.5" customHeight="1">
      <c r="B411" s="54">
        <v>0</v>
      </c>
    </row>
    <row r="412" ht="22.5" customHeight="1">
      <c r="B412" s="54">
        <v>0</v>
      </c>
    </row>
    <row r="413" ht="22.5" customHeight="1">
      <c r="B413" s="54">
        <v>0</v>
      </c>
    </row>
    <row r="414" ht="22.5" customHeight="1">
      <c r="B414" s="54">
        <v>0</v>
      </c>
    </row>
    <row r="415" ht="22.5" customHeight="1">
      <c r="B415" s="54">
        <v>0</v>
      </c>
    </row>
    <row r="416" ht="22.5" customHeight="1">
      <c r="B416" s="54">
        <v>0</v>
      </c>
    </row>
    <row r="417" ht="22.5" customHeight="1">
      <c r="B417" s="54">
        <v>0</v>
      </c>
    </row>
    <row r="418" ht="22.5" customHeight="1">
      <c r="B418" s="54">
        <v>0</v>
      </c>
    </row>
    <row r="419" ht="22.5" customHeight="1">
      <c r="B419" s="54">
        <v>0</v>
      </c>
    </row>
    <row r="420" ht="22.5" customHeight="1">
      <c r="B420" s="54">
        <v>0</v>
      </c>
    </row>
    <row r="421" ht="22.5" customHeight="1">
      <c r="B421" s="54">
        <v>0</v>
      </c>
    </row>
    <row r="422" ht="22.5" customHeight="1">
      <c r="B422" s="54">
        <v>0</v>
      </c>
    </row>
    <row r="423" ht="22.5" customHeight="1">
      <c r="B423" s="54">
        <v>0</v>
      </c>
    </row>
    <row r="424" ht="22.5" customHeight="1">
      <c r="B424" s="54">
        <v>0</v>
      </c>
    </row>
    <row r="425" ht="22.5" customHeight="1">
      <c r="B425" s="54">
        <v>0</v>
      </c>
    </row>
    <row r="426" ht="22.5" customHeight="1">
      <c r="B426" s="54">
        <v>0</v>
      </c>
    </row>
    <row r="427" ht="22.5" customHeight="1">
      <c r="B427" s="54">
        <v>0</v>
      </c>
    </row>
    <row r="428" ht="22.5" customHeight="1">
      <c r="B428" s="54">
        <v>0</v>
      </c>
    </row>
    <row r="429" ht="22.5" customHeight="1">
      <c r="B429" s="54">
        <v>0</v>
      </c>
    </row>
    <row r="430" ht="22.5" customHeight="1">
      <c r="B430" s="54">
        <v>0</v>
      </c>
    </row>
    <row r="431" ht="22.5" customHeight="1">
      <c r="B431" s="54">
        <v>0</v>
      </c>
    </row>
    <row r="432" ht="22.5" customHeight="1">
      <c r="B432" s="54">
        <v>0</v>
      </c>
    </row>
    <row r="433" ht="22.5" customHeight="1">
      <c r="B433" s="54">
        <v>0</v>
      </c>
    </row>
    <row r="434" ht="22.5" customHeight="1">
      <c r="B434" s="54">
        <v>0</v>
      </c>
    </row>
    <row r="435" ht="22.5" customHeight="1">
      <c r="B435" s="54">
        <v>0</v>
      </c>
    </row>
    <row r="436" ht="22.5" customHeight="1">
      <c r="B436" s="54">
        <v>0</v>
      </c>
    </row>
    <row r="437" ht="22.5" customHeight="1">
      <c r="B437" s="54">
        <v>0</v>
      </c>
    </row>
    <row r="438" ht="22.5" customHeight="1">
      <c r="B438" s="54">
        <v>0</v>
      </c>
    </row>
    <row r="439" ht="22.5" customHeight="1">
      <c r="B439" s="54">
        <v>0</v>
      </c>
    </row>
    <row r="440" ht="22.5" customHeight="1">
      <c r="B440" s="54">
        <v>0</v>
      </c>
    </row>
    <row r="441" ht="22.5" customHeight="1">
      <c r="B441" s="54">
        <v>0</v>
      </c>
    </row>
    <row r="442" ht="22.5" customHeight="1">
      <c r="B442" s="54">
        <v>0</v>
      </c>
    </row>
    <row r="443" ht="22.5" customHeight="1">
      <c r="B443" s="54">
        <v>0</v>
      </c>
    </row>
    <row r="444" ht="22.5" customHeight="1">
      <c r="B444" s="54">
        <v>0</v>
      </c>
    </row>
    <row r="445" ht="22.5" customHeight="1">
      <c r="B445" s="54">
        <v>0</v>
      </c>
    </row>
    <row r="446" ht="22.5" customHeight="1">
      <c r="B446" s="54">
        <v>0</v>
      </c>
    </row>
    <row r="447" ht="22.5" customHeight="1">
      <c r="B447" s="54">
        <v>0</v>
      </c>
    </row>
    <row r="448" ht="22.5" customHeight="1">
      <c r="B448" s="54">
        <v>0</v>
      </c>
    </row>
    <row r="449" ht="22.5" customHeight="1">
      <c r="B449" s="54">
        <v>0</v>
      </c>
    </row>
    <row r="450" ht="22.5" customHeight="1">
      <c r="B450" s="54">
        <v>0</v>
      </c>
    </row>
    <row r="451" ht="22.5" customHeight="1">
      <c r="B451" s="54">
        <v>0</v>
      </c>
    </row>
    <row r="452" ht="22.5" customHeight="1">
      <c r="B452" s="54">
        <v>0</v>
      </c>
    </row>
    <row r="453" ht="22.5" customHeight="1">
      <c r="B453" s="54">
        <v>0</v>
      </c>
    </row>
    <row r="454" ht="22.5" customHeight="1">
      <c r="B454" s="54">
        <v>0</v>
      </c>
    </row>
    <row r="455" ht="22.5" customHeight="1">
      <c r="B455" s="54">
        <v>0</v>
      </c>
    </row>
    <row r="456" ht="22.5" customHeight="1">
      <c r="B456" s="54">
        <v>0</v>
      </c>
    </row>
    <row r="457" ht="22.5" customHeight="1">
      <c r="B457" s="54">
        <v>0</v>
      </c>
    </row>
    <row r="458" ht="22.5" customHeight="1">
      <c r="B458" s="54">
        <v>0</v>
      </c>
    </row>
    <row r="459" ht="22.5" customHeight="1">
      <c r="B459" s="54">
        <v>0</v>
      </c>
    </row>
    <row r="460" ht="22.5" customHeight="1">
      <c r="B460" s="54">
        <v>0</v>
      </c>
    </row>
    <row r="461" ht="22.5" customHeight="1">
      <c r="B461" s="54">
        <v>0</v>
      </c>
    </row>
    <row r="462" ht="22.5" customHeight="1">
      <c r="B462" s="54">
        <v>0</v>
      </c>
    </row>
    <row r="463" ht="22.5" customHeight="1">
      <c r="B463" s="54">
        <v>0</v>
      </c>
    </row>
    <row r="464" ht="22.5" customHeight="1">
      <c r="B464" s="54">
        <v>0</v>
      </c>
    </row>
    <row r="465" ht="22.5" customHeight="1">
      <c r="B465" s="54">
        <v>0</v>
      </c>
    </row>
    <row r="466" ht="22.5" customHeight="1">
      <c r="B466" s="54">
        <v>0</v>
      </c>
    </row>
    <row r="467" ht="22.5" customHeight="1">
      <c r="B467" s="54">
        <v>0</v>
      </c>
    </row>
    <row r="468" ht="22.5" customHeight="1">
      <c r="B468" s="54">
        <v>0</v>
      </c>
    </row>
    <row r="469" ht="22.5" customHeight="1">
      <c r="B469" s="54">
        <v>0</v>
      </c>
    </row>
    <row r="470" ht="22.5" customHeight="1">
      <c r="B470" s="54">
        <v>0</v>
      </c>
    </row>
    <row r="471" ht="22.5" customHeight="1">
      <c r="B471" s="54">
        <v>0</v>
      </c>
    </row>
    <row r="472" ht="22.5" customHeight="1">
      <c r="B472" s="54">
        <v>0</v>
      </c>
    </row>
    <row r="473" ht="22.5" customHeight="1">
      <c r="B473" s="54">
        <v>0</v>
      </c>
    </row>
    <row r="474" ht="22.5" customHeight="1">
      <c r="B474" s="54">
        <v>0</v>
      </c>
    </row>
    <row r="475" ht="22.5" customHeight="1">
      <c r="B475" s="54">
        <v>0</v>
      </c>
    </row>
    <row r="476" ht="22.5" customHeight="1">
      <c r="B476" s="54">
        <v>0</v>
      </c>
    </row>
    <row r="477" ht="22.5" customHeight="1">
      <c r="B477" s="54">
        <v>0</v>
      </c>
    </row>
    <row r="478" ht="22.5" customHeight="1">
      <c r="B478" s="54">
        <v>0</v>
      </c>
    </row>
    <row r="479" ht="22.5" customHeight="1">
      <c r="B479" s="54">
        <v>0</v>
      </c>
    </row>
    <row r="480" ht="22.5" customHeight="1">
      <c r="B480" s="54">
        <v>0</v>
      </c>
    </row>
    <row r="481" ht="22.5" customHeight="1">
      <c r="B481" s="54">
        <v>0</v>
      </c>
    </row>
    <row r="482" ht="22.5" customHeight="1">
      <c r="B482" s="54">
        <v>0</v>
      </c>
    </row>
    <row r="483" ht="22.5" customHeight="1">
      <c r="B483" s="54">
        <v>0</v>
      </c>
    </row>
    <row r="484" ht="22.5" customHeight="1">
      <c r="B484" s="54">
        <v>0</v>
      </c>
    </row>
    <row r="485" ht="22.5" customHeight="1">
      <c r="B485" s="54">
        <v>0</v>
      </c>
    </row>
    <row r="486" ht="22.5" customHeight="1">
      <c r="B486" s="54">
        <v>0</v>
      </c>
    </row>
    <row r="487" ht="22.5" customHeight="1">
      <c r="B487" s="54">
        <v>0</v>
      </c>
    </row>
    <row r="488" ht="22.5" customHeight="1">
      <c r="B488" s="54">
        <v>0</v>
      </c>
    </row>
    <row r="489" ht="22.5" customHeight="1">
      <c r="B489" s="54">
        <v>0</v>
      </c>
    </row>
    <row r="490" ht="22.5" customHeight="1">
      <c r="B490" s="54">
        <v>0</v>
      </c>
    </row>
    <row r="491" ht="22.5" customHeight="1">
      <c r="B491" s="54">
        <v>0</v>
      </c>
    </row>
    <row r="492" ht="22.5" customHeight="1">
      <c r="B492" s="54">
        <v>0</v>
      </c>
    </row>
    <row r="493" ht="22.5" customHeight="1">
      <c r="B493" s="54">
        <v>0</v>
      </c>
    </row>
    <row r="494" ht="22.5" customHeight="1">
      <c r="B494" s="54">
        <v>0</v>
      </c>
    </row>
    <row r="495" ht="22.5" customHeight="1">
      <c r="B495" s="54">
        <v>0</v>
      </c>
    </row>
    <row r="496" ht="22.5" customHeight="1">
      <c r="B496" s="54">
        <v>0</v>
      </c>
    </row>
    <row r="497" ht="22.5" customHeight="1">
      <c r="B497" s="54">
        <v>0</v>
      </c>
    </row>
    <row r="498" ht="22.5" customHeight="1">
      <c r="B498" s="54">
        <v>0</v>
      </c>
    </row>
    <row r="499" ht="22.5" customHeight="1">
      <c r="B499" s="54">
        <v>0</v>
      </c>
    </row>
    <row r="500" ht="22.5" customHeight="1">
      <c r="B500" s="54">
        <v>0</v>
      </c>
    </row>
    <row r="501" ht="22.5" customHeight="1">
      <c r="B501" s="54">
        <v>0</v>
      </c>
    </row>
    <row r="502" ht="22.5" customHeight="1">
      <c r="B502" s="54">
        <v>0</v>
      </c>
    </row>
    <row r="503" ht="22.5" customHeight="1">
      <c r="B503" s="54">
        <v>0</v>
      </c>
    </row>
    <row r="504" ht="22.5" customHeight="1">
      <c r="B504" s="54">
        <v>0</v>
      </c>
    </row>
    <row r="505" ht="22.5" customHeight="1">
      <c r="B505" s="54">
        <v>0</v>
      </c>
    </row>
    <row r="506" ht="22.5" customHeight="1">
      <c r="B506" s="54">
        <v>0</v>
      </c>
    </row>
    <row r="507" ht="22.5" customHeight="1">
      <c r="B507" s="54">
        <v>0</v>
      </c>
    </row>
    <row r="508" ht="22.5" customHeight="1">
      <c r="B508" s="54">
        <v>0</v>
      </c>
    </row>
    <row r="509" ht="22.5" customHeight="1">
      <c r="B509" s="54">
        <v>0</v>
      </c>
    </row>
    <row r="510" ht="22.5" customHeight="1">
      <c r="B510" s="54">
        <v>0</v>
      </c>
    </row>
    <row r="511" ht="22.5" customHeight="1">
      <c r="B511" s="54">
        <v>0</v>
      </c>
    </row>
    <row r="512" ht="22.5" customHeight="1">
      <c r="B512" s="54">
        <v>0</v>
      </c>
    </row>
    <row r="513" ht="22.5" customHeight="1">
      <c r="B513" s="54">
        <v>0</v>
      </c>
    </row>
    <row r="514" ht="22.5" customHeight="1">
      <c r="B514" s="54">
        <v>0</v>
      </c>
    </row>
    <row r="515" ht="22.5" customHeight="1">
      <c r="B515" s="54">
        <v>0</v>
      </c>
    </row>
    <row r="516" ht="22.5" customHeight="1">
      <c r="B516" s="54">
        <v>0</v>
      </c>
    </row>
    <row r="517" ht="22.5" customHeight="1">
      <c r="B517" s="54">
        <v>0</v>
      </c>
    </row>
    <row r="518" ht="22.5" customHeight="1">
      <c r="B518" s="54">
        <v>0</v>
      </c>
    </row>
    <row r="519" ht="22.5" customHeight="1">
      <c r="B519" s="54">
        <v>0</v>
      </c>
    </row>
    <row r="520" ht="22.5" customHeight="1">
      <c r="B520" s="54">
        <v>0</v>
      </c>
    </row>
    <row r="521" ht="22.5" customHeight="1">
      <c r="B521" s="54">
        <v>0</v>
      </c>
    </row>
    <row r="522" ht="22.5" customHeight="1">
      <c r="B522" s="54">
        <v>0</v>
      </c>
    </row>
    <row r="523" ht="22.5" customHeight="1">
      <c r="B523" s="54">
        <v>0</v>
      </c>
    </row>
    <row r="524" ht="22.5" customHeight="1">
      <c r="B524" s="54">
        <v>0</v>
      </c>
    </row>
    <row r="525" ht="22.5" customHeight="1">
      <c r="B525" s="54">
        <v>0</v>
      </c>
    </row>
    <row r="526" ht="22.5" customHeight="1">
      <c r="B526" s="54">
        <v>0</v>
      </c>
    </row>
    <row r="527" ht="22.5" customHeight="1">
      <c r="B527" s="54">
        <v>0</v>
      </c>
    </row>
    <row r="528" ht="22.5" customHeight="1">
      <c r="B528" s="54">
        <v>0</v>
      </c>
    </row>
    <row r="529" ht="22.5" customHeight="1">
      <c r="B529" s="54">
        <v>0</v>
      </c>
    </row>
    <row r="530" ht="22.5" customHeight="1">
      <c r="B530" s="54">
        <v>0</v>
      </c>
    </row>
    <row r="531" ht="22.5" customHeight="1">
      <c r="B531" s="54">
        <v>0</v>
      </c>
    </row>
    <row r="532" ht="22.5" customHeight="1">
      <c r="B532" s="54">
        <v>0</v>
      </c>
    </row>
    <row r="533" ht="22.5" customHeight="1">
      <c r="B533" s="54">
        <v>0</v>
      </c>
    </row>
    <row r="534" ht="22.5" customHeight="1">
      <c r="B534" s="54">
        <v>0</v>
      </c>
    </row>
    <row r="535" ht="22.5" customHeight="1">
      <c r="B535" s="54">
        <v>0</v>
      </c>
    </row>
    <row r="536" ht="22.5" customHeight="1">
      <c r="B536" s="54">
        <v>0</v>
      </c>
    </row>
    <row r="537" ht="22.5" customHeight="1">
      <c r="B537" s="54">
        <v>0</v>
      </c>
    </row>
    <row r="538" ht="22.5" customHeight="1">
      <c r="B538" s="54">
        <v>0</v>
      </c>
    </row>
    <row r="539" ht="22.5" customHeight="1">
      <c r="B539" s="54">
        <v>0</v>
      </c>
    </row>
    <row r="540" ht="22.5" customHeight="1">
      <c r="B540" s="54">
        <v>0</v>
      </c>
    </row>
    <row r="541" ht="22.5" customHeight="1">
      <c r="B541" s="54">
        <v>0</v>
      </c>
    </row>
    <row r="542" ht="22.5" customHeight="1">
      <c r="B542" s="54">
        <v>0</v>
      </c>
    </row>
    <row r="543" ht="22.5" customHeight="1">
      <c r="B543" s="54">
        <v>0</v>
      </c>
    </row>
    <row r="544" ht="22.5" customHeight="1">
      <c r="B544" s="54">
        <v>0</v>
      </c>
    </row>
    <row r="545" ht="22.5" customHeight="1">
      <c r="B545" s="54">
        <v>0</v>
      </c>
    </row>
    <row r="546" ht="22.5" customHeight="1">
      <c r="B546" s="54">
        <v>0</v>
      </c>
    </row>
    <row r="547" ht="22.5" customHeight="1">
      <c r="B547" s="54">
        <v>0</v>
      </c>
    </row>
    <row r="548" ht="22.5" customHeight="1">
      <c r="B548" s="54">
        <v>0</v>
      </c>
    </row>
    <row r="549" ht="22.5" customHeight="1">
      <c r="B549" s="54">
        <v>0</v>
      </c>
    </row>
    <row r="550" ht="22.5" customHeight="1">
      <c r="B550" s="54">
        <v>0</v>
      </c>
    </row>
    <row r="551" ht="22.5" customHeight="1">
      <c r="B551" s="54">
        <v>0</v>
      </c>
    </row>
    <row r="552" ht="22.5" customHeight="1">
      <c r="B552" s="54">
        <v>0</v>
      </c>
    </row>
    <row r="553" ht="22.5" customHeight="1">
      <c r="B553" s="54">
        <v>0</v>
      </c>
    </row>
    <row r="554" ht="22.5" customHeight="1">
      <c r="B554" s="54">
        <v>0</v>
      </c>
    </row>
    <row r="555" ht="22.5" customHeight="1">
      <c r="B555" s="54">
        <v>0</v>
      </c>
    </row>
    <row r="556" ht="22.5" customHeight="1">
      <c r="B556" s="54">
        <v>0</v>
      </c>
    </row>
    <row r="557" ht="22.5" customHeight="1">
      <c r="B557" s="54">
        <v>0</v>
      </c>
    </row>
    <row r="558" ht="22.5" customHeight="1">
      <c r="B558" s="54">
        <v>0</v>
      </c>
    </row>
    <row r="559" ht="22.5" customHeight="1">
      <c r="B559" s="54">
        <v>0</v>
      </c>
    </row>
    <row r="560" ht="22.5" customHeight="1">
      <c r="B560" s="54">
        <v>0</v>
      </c>
    </row>
    <row r="561" ht="22.5" customHeight="1">
      <c r="B561" s="54">
        <v>0</v>
      </c>
    </row>
    <row r="562" ht="22.5" customHeight="1">
      <c r="B562" s="54">
        <v>0</v>
      </c>
    </row>
    <row r="563" ht="22.5" customHeight="1">
      <c r="B563" s="54">
        <v>0</v>
      </c>
    </row>
    <row r="564" ht="22.5" customHeight="1">
      <c r="B564" s="54">
        <v>0</v>
      </c>
    </row>
    <row r="565" ht="22.5" customHeight="1">
      <c r="B565" s="54">
        <v>0</v>
      </c>
    </row>
    <row r="566" ht="22.5" customHeight="1">
      <c r="B566" s="54">
        <v>0</v>
      </c>
    </row>
    <row r="567" ht="22.5" customHeight="1">
      <c r="B567" s="54">
        <v>0</v>
      </c>
    </row>
    <row r="568" ht="22.5" customHeight="1">
      <c r="B568" s="54">
        <v>0</v>
      </c>
    </row>
    <row r="569" ht="22.5" customHeight="1">
      <c r="B569" s="54">
        <v>0</v>
      </c>
    </row>
    <row r="570" ht="22.5" customHeight="1">
      <c r="B570" s="54">
        <v>0</v>
      </c>
    </row>
    <row r="571" ht="22.5" customHeight="1">
      <c r="B571" s="54">
        <v>0</v>
      </c>
    </row>
    <row r="572" ht="22.5" customHeight="1">
      <c r="B572" s="54">
        <v>0</v>
      </c>
    </row>
    <row r="573" ht="22.5" customHeight="1">
      <c r="B573" s="54">
        <v>0</v>
      </c>
    </row>
    <row r="574" ht="22.5" customHeight="1">
      <c r="B574" s="54">
        <v>0</v>
      </c>
    </row>
    <row r="575" ht="22.5" customHeight="1">
      <c r="B575" s="54">
        <v>0</v>
      </c>
    </row>
    <row r="576" ht="22.5" customHeight="1">
      <c r="B576" s="54">
        <v>0</v>
      </c>
    </row>
    <row r="577" ht="22.5" customHeight="1">
      <c r="B577" s="54">
        <v>0</v>
      </c>
    </row>
    <row r="578" ht="22.5" customHeight="1">
      <c r="B578" s="54">
        <v>0</v>
      </c>
    </row>
    <row r="579" ht="22.5" customHeight="1">
      <c r="B579" s="54">
        <v>0</v>
      </c>
    </row>
    <row r="580" ht="22.5" customHeight="1">
      <c r="B580" s="54">
        <v>0</v>
      </c>
    </row>
    <row r="581" ht="22.5" customHeight="1">
      <c r="B581" s="54">
        <v>0</v>
      </c>
    </row>
    <row r="582" ht="22.5" customHeight="1">
      <c r="B582" s="54">
        <v>0</v>
      </c>
    </row>
    <row r="583" ht="22.5" customHeight="1">
      <c r="B583" s="54">
        <v>0</v>
      </c>
    </row>
    <row r="584" ht="22.5" customHeight="1">
      <c r="B584" s="54">
        <v>0</v>
      </c>
    </row>
    <row r="585" ht="22.5" customHeight="1">
      <c r="B585" s="54">
        <v>0</v>
      </c>
    </row>
    <row r="586" ht="22.5" customHeight="1">
      <c r="B586" s="54">
        <v>0</v>
      </c>
    </row>
    <row r="587" ht="22.5" customHeight="1">
      <c r="B587" s="54">
        <v>0</v>
      </c>
    </row>
    <row r="588" ht="22.5" customHeight="1">
      <c r="B588" s="54">
        <v>0</v>
      </c>
    </row>
    <row r="589" ht="22.5" customHeight="1">
      <c r="B589" s="54">
        <v>0</v>
      </c>
    </row>
    <row r="590" ht="22.5" customHeight="1">
      <c r="B590" s="54">
        <v>0</v>
      </c>
    </row>
    <row r="591" ht="22.5" customHeight="1">
      <c r="B591" s="54">
        <v>0</v>
      </c>
    </row>
    <row r="592" ht="22.5" customHeight="1">
      <c r="B592" s="54">
        <v>0</v>
      </c>
    </row>
    <row r="593" ht="22.5" customHeight="1">
      <c r="B593" s="54">
        <v>0</v>
      </c>
    </row>
    <row r="594" ht="22.5" customHeight="1">
      <c r="B594" s="54">
        <v>0</v>
      </c>
    </row>
    <row r="595" ht="22.5" customHeight="1">
      <c r="B595" s="54">
        <v>0</v>
      </c>
    </row>
    <row r="596" ht="22.5" customHeight="1">
      <c r="B596" s="54">
        <v>0</v>
      </c>
    </row>
    <row r="597" ht="22.5" customHeight="1">
      <c r="B597" s="54">
        <v>0</v>
      </c>
    </row>
    <row r="598" ht="22.5" customHeight="1">
      <c r="B598" s="54">
        <v>0</v>
      </c>
    </row>
    <row r="599" ht="22.5" customHeight="1">
      <c r="B599" s="54">
        <v>0</v>
      </c>
    </row>
    <row r="600" ht="22.5" customHeight="1">
      <c r="B600" s="54">
        <v>0</v>
      </c>
    </row>
    <row r="601" ht="22.5" customHeight="1">
      <c r="B601" s="54">
        <v>0</v>
      </c>
    </row>
    <row r="602" ht="22.5" customHeight="1">
      <c r="B602" s="54">
        <v>0</v>
      </c>
    </row>
    <row r="603" ht="22.5" customHeight="1">
      <c r="B603" s="54">
        <v>0</v>
      </c>
    </row>
    <row r="604" ht="22.5" customHeight="1">
      <c r="B604" s="54">
        <v>0</v>
      </c>
    </row>
    <row r="605" ht="22.5" customHeight="1">
      <c r="B605" s="54">
        <v>0</v>
      </c>
    </row>
    <row r="606" ht="22.5" customHeight="1">
      <c r="B606" s="54">
        <v>0</v>
      </c>
    </row>
    <row r="607" ht="22.5" customHeight="1">
      <c r="B607" s="54">
        <v>0</v>
      </c>
    </row>
    <row r="608" ht="22.5" customHeight="1">
      <c r="B608" s="54">
        <v>0</v>
      </c>
    </row>
    <row r="609" ht="22.5" customHeight="1">
      <c r="B609" s="54">
        <v>0</v>
      </c>
    </row>
    <row r="610" ht="22.5" customHeight="1">
      <c r="B610" s="54">
        <v>0</v>
      </c>
    </row>
    <row r="611" ht="22.5" customHeight="1">
      <c r="B611" s="54">
        <v>0</v>
      </c>
    </row>
    <row r="612" ht="22.5" customHeight="1">
      <c r="B612" s="54">
        <v>0</v>
      </c>
    </row>
    <row r="613" ht="22.5" customHeight="1">
      <c r="B613" s="54">
        <v>0</v>
      </c>
    </row>
    <row r="614" ht="22.5" customHeight="1">
      <c r="B614" s="54">
        <v>0</v>
      </c>
    </row>
    <row r="615" ht="22.5" customHeight="1">
      <c r="B615" s="54">
        <v>0</v>
      </c>
    </row>
    <row r="616" ht="22.5" customHeight="1">
      <c r="B616" s="54">
        <v>0</v>
      </c>
    </row>
    <row r="617" ht="22.5" customHeight="1">
      <c r="B617" s="54">
        <v>0</v>
      </c>
    </row>
    <row r="618" ht="22.5" customHeight="1">
      <c r="B618" s="54">
        <v>0</v>
      </c>
    </row>
    <row r="619" ht="22.5" customHeight="1">
      <c r="B619" s="54">
        <v>0</v>
      </c>
    </row>
    <row r="620" ht="22.5" customHeight="1">
      <c r="B620" s="54">
        <v>0</v>
      </c>
    </row>
    <row r="621" ht="22.5" customHeight="1">
      <c r="B621" s="54">
        <v>0</v>
      </c>
    </row>
    <row r="622" ht="22.5" customHeight="1">
      <c r="B622" s="54">
        <v>0</v>
      </c>
    </row>
    <row r="623" ht="22.5" customHeight="1">
      <c r="B623" s="54">
        <v>0</v>
      </c>
    </row>
    <row r="624" ht="22.5" customHeight="1">
      <c r="B624" s="54">
        <v>0</v>
      </c>
    </row>
    <row r="625" ht="22.5" customHeight="1">
      <c r="B625" s="54">
        <v>0</v>
      </c>
    </row>
    <row r="626" ht="22.5" customHeight="1">
      <c r="B626" s="54">
        <v>0</v>
      </c>
    </row>
    <row r="627" ht="22.5" customHeight="1">
      <c r="B627" s="54">
        <v>0</v>
      </c>
    </row>
    <row r="628" ht="22.5" customHeight="1">
      <c r="B628" s="54">
        <v>0</v>
      </c>
    </row>
    <row r="629" ht="22.5" customHeight="1">
      <c r="B629" s="54">
        <v>0</v>
      </c>
    </row>
    <row r="630" ht="22.5" customHeight="1">
      <c r="B630" s="54">
        <v>0</v>
      </c>
    </row>
    <row r="631" ht="22.5" customHeight="1">
      <c r="B631" s="54">
        <v>0</v>
      </c>
    </row>
    <row r="632" ht="22.5" customHeight="1">
      <c r="B632" s="54">
        <v>0</v>
      </c>
    </row>
    <row r="633" ht="22.5" customHeight="1">
      <c r="B633" s="54">
        <v>0</v>
      </c>
    </row>
    <row r="634" ht="22.5" customHeight="1">
      <c r="B634" s="54">
        <v>0</v>
      </c>
    </row>
    <row r="635" ht="22.5" customHeight="1">
      <c r="B635" s="54">
        <v>0</v>
      </c>
    </row>
    <row r="636" ht="22.5" customHeight="1">
      <c r="B636" s="54">
        <v>0</v>
      </c>
    </row>
    <row r="637" ht="22.5" customHeight="1">
      <c r="B637" s="54">
        <v>0</v>
      </c>
    </row>
    <row r="638" ht="22.5" customHeight="1">
      <c r="B638" s="54">
        <v>0</v>
      </c>
    </row>
    <row r="639" ht="22.5" customHeight="1">
      <c r="B639" s="54">
        <v>0</v>
      </c>
    </row>
    <row r="640" ht="22.5" customHeight="1">
      <c r="B640" s="54">
        <v>0</v>
      </c>
    </row>
    <row r="641" ht="22.5" customHeight="1">
      <c r="B641" s="54">
        <v>0</v>
      </c>
    </row>
    <row r="642" ht="22.5" customHeight="1">
      <c r="B642" s="54">
        <v>0</v>
      </c>
    </row>
    <row r="643" ht="22.5" customHeight="1">
      <c r="B643" s="54">
        <v>0</v>
      </c>
    </row>
    <row r="644" ht="22.5" customHeight="1">
      <c r="B644" s="54">
        <v>0</v>
      </c>
    </row>
    <row r="645" ht="22.5" customHeight="1">
      <c r="B645" s="54">
        <v>0</v>
      </c>
    </row>
    <row r="646" ht="22.5" customHeight="1">
      <c r="B646" s="54">
        <v>0</v>
      </c>
    </row>
    <row r="647" ht="22.5" customHeight="1">
      <c r="B647" s="54">
        <v>0</v>
      </c>
    </row>
    <row r="648" ht="22.5" customHeight="1">
      <c r="B648" s="54">
        <v>0</v>
      </c>
    </row>
    <row r="649" ht="22.5" customHeight="1">
      <c r="B649" s="54">
        <v>0</v>
      </c>
    </row>
    <row r="650" ht="22.5" customHeight="1">
      <c r="B650" s="54">
        <v>0</v>
      </c>
    </row>
    <row r="651" ht="22.5" customHeight="1">
      <c r="B651" s="54">
        <v>0</v>
      </c>
    </row>
    <row r="652" ht="22.5" customHeight="1">
      <c r="B652" s="54">
        <v>0</v>
      </c>
    </row>
    <row r="653" ht="22.5" customHeight="1">
      <c r="B653" s="54">
        <v>0</v>
      </c>
    </row>
    <row r="654" ht="22.5" customHeight="1">
      <c r="B654" s="54">
        <v>0</v>
      </c>
    </row>
    <row r="655" ht="22.5" customHeight="1">
      <c r="B655" s="54">
        <v>0</v>
      </c>
    </row>
    <row r="656" ht="22.5" customHeight="1">
      <c r="B656" s="54">
        <v>0</v>
      </c>
    </row>
    <row r="657" ht="22.5" customHeight="1">
      <c r="B657" s="54">
        <v>0</v>
      </c>
    </row>
    <row r="658" ht="22.5" customHeight="1">
      <c r="B658" s="54">
        <v>0</v>
      </c>
    </row>
    <row r="659" ht="22.5" customHeight="1">
      <c r="B659" s="54">
        <v>0</v>
      </c>
    </row>
    <row r="660" ht="22.5" customHeight="1">
      <c r="B660" s="54">
        <v>0</v>
      </c>
    </row>
    <row r="661" ht="22.5" customHeight="1">
      <c r="B661" s="54">
        <v>0</v>
      </c>
    </row>
    <row r="662" ht="22.5" customHeight="1">
      <c r="B662" s="54">
        <v>0</v>
      </c>
    </row>
    <row r="663" ht="22.5" customHeight="1">
      <c r="B663" s="54">
        <v>0</v>
      </c>
    </row>
    <row r="664" ht="22.5" customHeight="1">
      <c r="B664" s="54">
        <v>0</v>
      </c>
    </row>
    <row r="665" ht="22.5" customHeight="1">
      <c r="B665" s="54">
        <v>0</v>
      </c>
    </row>
    <row r="666" ht="22.5" customHeight="1">
      <c r="B666" s="54">
        <v>0</v>
      </c>
    </row>
    <row r="667" ht="22.5" customHeight="1">
      <c r="B667" s="54">
        <v>0</v>
      </c>
    </row>
    <row r="668" ht="22.5" customHeight="1">
      <c r="B668" s="54">
        <v>0</v>
      </c>
    </row>
    <row r="669" ht="22.5" customHeight="1">
      <c r="B669" s="54">
        <v>0</v>
      </c>
    </row>
    <row r="670" ht="22.5" customHeight="1">
      <c r="B670" s="54">
        <v>0</v>
      </c>
    </row>
    <row r="671" ht="22.5" customHeight="1">
      <c r="B671" s="54">
        <v>0</v>
      </c>
    </row>
    <row r="672" ht="22.5" customHeight="1">
      <c r="B672" s="54">
        <v>0</v>
      </c>
    </row>
    <row r="673" ht="22.5" customHeight="1">
      <c r="B673" s="54">
        <v>0</v>
      </c>
    </row>
    <row r="674" ht="22.5" customHeight="1">
      <c r="B674" s="54">
        <v>0</v>
      </c>
    </row>
    <row r="675" ht="22.5" customHeight="1">
      <c r="B675" s="54">
        <v>0</v>
      </c>
    </row>
    <row r="676" ht="22.5" customHeight="1">
      <c r="B676" s="54">
        <v>0</v>
      </c>
    </row>
    <row r="677" ht="22.5" customHeight="1">
      <c r="B677" s="54">
        <v>0</v>
      </c>
    </row>
    <row r="678" ht="22.5" customHeight="1">
      <c r="B678" s="54">
        <v>0</v>
      </c>
    </row>
    <row r="679" ht="22.5" customHeight="1">
      <c r="B679" s="54">
        <v>0</v>
      </c>
    </row>
    <row r="680" ht="22.5" customHeight="1">
      <c r="B680" s="54">
        <v>0</v>
      </c>
    </row>
    <row r="681" ht="22.5" customHeight="1">
      <c r="B681" s="54">
        <v>0</v>
      </c>
    </row>
    <row r="682" ht="22.5" customHeight="1">
      <c r="B682" s="54">
        <v>0</v>
      </c>
    </row>
    <row r="683" ht="22.5" customHeight="1">
      <c r="B683" s="54">
        <v>0</v>
      </c>
    </row>
    <row r="684" ht="22.5" customHeight="1">
      <c r="B684" s="54">
        <v>0</v>
      </c>
    </row>
    <row r="685" ht="22.5" customHeight="1">
      <c r="B685" s="54">
        <v>0</v>
      </c>
    </row>
    <row r="686" ht="22.5" customHeight="1">
      <c r="B686" s="54">
        <v>0</v>
      </c>
    </row>
    <row r="687" ht="22.5" customHeight="1">
      <c r="B687" s="54">
        <v>0</v>
      </c>
    </row>
    <row r="688" ht="22.5" customHeight="1">
      <c r="B688" s="54">
        <v>0</v>
      </c>
    </row>
    <row r="689" ht="22.5" customHeight="1">
      <c r="B689" s="54">
        <v>0</v>
      </c>
    </row>
    <row r="690" ht="22.5" customHeight="1">
      <c r="B690" s="54">
        <v>0</v>
      </c>
    </row>
    <row r="691" ht="22.5" customHeight="1">
      <c r="B691" s="54">
        <v>0</v>
      </c>
    </row>
    <row r="692" ht="22.5" customHeight="1">
      <c r="B692" s="54">
        <v>0</v>
      </c>
    </row>
    <row r="693" ht="22.5" customHeight="1">
      <c r="B693" s="54">
        <v>0</v>
      </c>
    </row>
    <row r="694" ht="22.5" customHeight="1">
      <c r="B694" s="54">
        <v>0</v>
      </c>
    </row>
    <row r="695" ht="22.5" customHeight="1">
      <c r="B695" s="54">
        <v>0</v>
      </c>
    </row>
    <row r="696" ht="20.25">
      <c r="B696" s="54">
        <v>0</v>
      </c>
    </row>
    <row r="697" ht="20.25">
      <c r="B697" s="54">
        <v>0</v>
      </c>
    </row>
    <row r="698" ht="20.25">
      <c r="B698" s="54">
        <v>0</v>
      </c>
    </row>
    <row r="699" ht="20.25">
      <c r="B699" s="54">
        <v>0</v>
      </c>
    </row>
    <row r="700" ht="20.25">
      <c r="B700" s="54">
        <v>0</v>
      </c>
    </row>
    <row r="701" ht="20.25">
      <c r="B701" s="54">
        <v>0</v>
      </c>
    </row>
    <row r="702" ht="20.25">
      <c r="B702" s="54">
        <v>0</v>
      </c>
    </row>
    <row r="703" ht="20.25">
      <c r="B703" s="54">
        <v>0</v>
      </c>
    </row>
    <row r="704" ht="20.25">
      <c r="B704" s="54">
        <v>0</v>
      </c>
    </row>
    <row r="705" ht="20.25">
      <c r="B705" s="54">
        <v>0</v>
      </c>
    </row>
    <row r="706" ht="20.25">
      <c r="B706" s="54">
        <v>0</v>
      </c>
    </row>
    <row r="707" ht="20.25">
      <c r="B707" s="54">
        <v>0</v>
      </c>
    </row>
    <row r="708" ht="20.25">
      <c r="B708" s="54">
        <v>0</v>
      </c>
    </row>
    <row r="709" ht="20.25">
      <c r="B709" s="54">
        <v>0</v>
      </c>
    </row>
    <row r="710" ht="20.25">
      <c r="B710" s="54">
        <v>0</v>
      </c>
    </row>
    <row r="711" ht="20.25">
      <c r="B711" s="54">
        <v>0</v>
      </c>
    </row>
    <row r="712" ht="20.25">
      <c r="B712" s="5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D2:AW21"/>
  <sheetViews>
    <sheetView zoomScale="70" zoomScaleNormal="70" zoomScalePageLayoutView="0" workbookViewId="0" topLeftCell="A1">
      <selection activeCell="P29" sqref="P29"/>
    </sheetView>
  </sheetViews>
  <sheetFormatPr defaultColWidth="9.140625" defaultRowHeight="12.75"/>
  <sheetData>
    <row r="2" spans="4:12" ht="13.5" customHeight="1" thickBot="1">
      <c r="D2" s="113"/>
      <c r="E2" s="113"/>
      <c r="F2" s="113"/>
      <c r="G2" s="113"/>
      <c r="H2" s="113"/>
      <c r="I2" s="113"/>
      <c r="J2" s="113"/>
      <c r="K2" s="113"/>
      <c r="L2" s="113"/>
    </row>
    <row r="3" spans="4:49" ht="57" customHeight="1" thickBot="1" thickTop="1">
      <c r="D3" s="255" t="s">
        <v>509</v>
      </c>
      <c r="E3" s="256"/>
      <c r="F3" s="256"/>
      <c r="G3" s="256"/>
      <c r="H3" s="256"/>
      <c r="I3" s="256"/>
      <c r="J3" s="256"/>
      <c r="K3" s="256"/>
      <c r="L3" s="257"/>
      <c r="P3" s="110"/>
      <c r="Q3" s="110"/>
      <c r="R3" s="255" t="s">
        <v>510</v>
      </c>
      <c r="S3" s="256"/>
      <c r="T3" s="256"/>
      <c r="U3" s="256"/>
      <c r="V3" s="256"/>
      <c r="W3" s="256"/>
      <c r="X3" s="256"/>
      <c r="Y3" s="256"/>
      <c r="Z3" s="257"/>
      <c r="AC3" s="110"/>
      <c r="AD3" s="255" t="s">
        <v>511</v>
      </c>
      <c r="AE3" s="256"/>
      <c r="AF3" s="256"/>
      <c r="AG3" s="256"/>
      <c r="AH3" s="256"/>
      <c r="AI3" s="256"/>
      <c r="AJ3" s="256"/>
      <c r="AK3" s="256"/>
      <c r="AL3" s="257"/>
      <c r="AO3" s="255" t="s">
        <v>512</v>
      </c>
      <c r="AP3" s="256"/>
      <c r="AQ3" s="256"/>
      <c r="AR3" s="256"/>
      <c r="AS3" s="256"/>
      <c r="AT3" s="256"/>
      <c r="AU3" s="256"/>
      <c r="AV3" s="256"/>
      <c r="AW3" s="257"/>
    </row>
    <row r="4" spans="41:48" ht="13.5" thickTop="1">
      <c r="AO4" s="16"/>
      <c r="AV4" s="16"/>
    </row>
    <row r="11" ht="12.75">
      <c r="AM11" s="112"/>
    </row>
    <row r="14" ht="12.75">
      <c r="AK14" s="111"/>
    </row>
    <row r="21" spans="7:8" ht="12.75">
      <c r="G21" t="s">
        <v>130</v>
      </c>
      <c r="H21" t="s">
        <v>361</v>
      </c>
    </row>
  </sheetData>
  <sheetProtection/>
  <mergeCells count="4">
    <mergeCell ref="R3:Z3"/>
    <mergeCell ref="AD3:AL3"/>
    <mergeCell ref="AO3:AW3"/>
    <mergeCell ref="D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151"/>
  <sheetViews>
    <sheetView zoomScalePageLayoutView="0" workbookViewId="0" topLeftCell="A1">
      <selection activeCell="A20" sqref="A20:P20"/>
    </sheetView>
  </sheetViews>
  <sheetFormatPr defaultColWidth="9.140625" defaultRowHeight="12.75"/>
  <sheetData>
    <row r="1" spans="1:18" ht="20.25">
      <c r="A1" s="259" t="s">
        <v>487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</row>
    <row r="2" spans="1:18" ht="20.25">
      <c r="A2" s="259" t="s">
        <v>500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54"/>
      <c r="Q2" s="54"/>
      <c r="R2" s="54"/>
    </row>
    <row r="3" spans="1:18" ht="20.25">
      <c r="A3" s="259" t="s">
        <v>501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54"/>
    </row>
    <row r="4" spans="1:18" ht="20.25">
      <c r="A4" s="259" t="s">
        <v>508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</row>
    <row r="5" spans="1:18" ht="20.25">
      <c r="A5" s="258" t="s">
        <v>502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54"/>
      <c r="R5" s="54"/>
    </row>
    <row r="6" spans="1:18" s="109" customFormat="1" ht="20.25">
      <c r="A6" s="258" t="s">
        <v>504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54"/>
      <c r="R6" s="54"/>
    </row>
    <row r="7" spans="1:18" ht="20.25">
      <c r="A7" s="258" t="s">
        <v>505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54"/>
      <c r="R7" s="54"/>
    </row>
    <row r="8" spans="1:18" ht="20.25">
      <c r="A8" s="258" t="s">
        <v>169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54"/>
      <c r="R8" s="54"/>
    </row>
    <row r="9" spans="1:18" ht="20.25">
      <c r="A9" s="258" t="s">
        <v>506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54"/>
      <c r="R9" s="54"/>
    </row>
    <row r="10" spans="1:18" ht="20.25">
      <c r="A10" s="258" t="s">
        <v>507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54"/>
      <c r="R10" s="54"/>
    </row>
    <row r="11" spans="1:18" ht="20.25">
      <c r="A11" s="258" t="s">
        <v>517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54"/>
      <c r="R11" s="54"/>
    </row>
    <row r="12" spans="1:18" ht="20.25">
      <c r="A12" s="258" t="s">
        <v>501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54"/>
      <c r="R12" s="54"/>
    </row>
    <row r="13" spans="1:16" ht="20.25">
      <c r="A13" s="258" t="s">
        <v>518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</row>
    <row r="14" spans="1:16" ht="20.25">
      <c r="A14" s="258" t="s">
        <v>519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</row>
    <row r="15" spans="1:16" ht="20.25">
      <c r="A15" s="258" t="s">
        <v>520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</row>
    <row r="16" spans="1:16" ht="20.25">
      <c r="A16" s="258" t="s">
        <v>521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</row>
    <row r="17" spans="1:16" ht="20.25">
      <c r="A17" s="258" t="s">
        <v>522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</row>
    <row r="18" spans="1:16" ht="20.25">
      <c r="A18" s="258" t="s">
        <v>523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</row>
    <row r="19" spans="1:16" ht="20.25">
      <c r="A19" s="258" t="s">
        <v>524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</row>
    <row r="20" spans="1:16" ht="20.25">
      <c r="A20" s="258" t="s">
        <v>525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</row>
    <row r="21" spans="1:16" ht="20.25">
      <c r="A21" s="258" t="s">
        <v>538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</row>
    <row r="22" spans="1:16" ht="20.25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</row>
    <row r="23" spans="1:16" ht="20.25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</row>
    <row r="24" spans="1:16" ht="20.25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</row>
    <row r="25" spans="1:16" ht="20.25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</row>
    <row r="26" spans="1:16" ht="20.25">
      <c r="A26" s="258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</row>
    <row r="27" spans="1:16" ht="20.25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</row>
    <row r="28" spans="1:16" ht="20.25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</row>
    <row r="29" spans="1:16" ht="20.25">
      <c r="A29" s="258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</row>
    <row r="30" spans="1:16" ht="20.25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</row>
    <row r="31" spans="1:16" ht="20.25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</row>
    <row r="32" spans="1:16" ht="20.25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</row>
    <row r="33" spans="1:16" ht="20.25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</row>
    <row r="34" spans="1:16" ht="20.25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</row>
    <row r="35" spans="1:16" ht="20.25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</row>
    <row r="36" spans="1:16" ht="20.25">
      <c r="A36" s="258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</row>
    <row r="37" spans="1:16" ht="20.25">
      <c r="A37" s="258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</row>
    <row r="38" spans="1:16" ht="20.25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</row>
    <row r="39" spans="1:16" ht="20.25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</row>
    <row r="40" spans="1:16" ht="20.25">
      <c r="A40" s="258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</row>
    <row r="41" spans="1:16" ht="20.25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</row>
    <row r="42" spans="1:16" ht="20.25">
      <c r="A42" s="258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</row>
    <row r="43" spans="1:16" ht="20.25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</row>
    <row r="44" spans="1:16" ht="20.25">
      <c r="A44" s="258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</row>
    <row r="45" spans="1:16" ht="20.25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</row>
    <row r="46" spans="1:16" ht="20.25">
      <c r="A46" s="258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</row>
    <row r="47" spans="1:16" ht="20.25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</row>
    <row r="48" spans="1:16" ht="20.25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</row>
    <row r="49" spans="1:16" ht="20.25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</row>
    <row r="50" spans="1:16" ht="20.25">
      <c r="A50" s="258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</row>
    <row r="51" spans="1:16" ht="20.25">
      <c r="A51" s="258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</row>
    <row r="52" spans="1:16" ht="20.25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</row>
    <row r="53" spans="1:16" ht="20.25">
      <c r="A53" s="258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</row>
    <row r="54" spans="1:16" ht="20.2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</row>
    <row r="55" spans="1:16" ht="20.25">
      <c r="A55" s="258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</row>
    <row r="56" spans="1:16" ht="20.25">
      <c r="A56" s="258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</row>
    <row r="57" spans="1:16" ht="20.25">
      <c r="A57" s="258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</row>
    <row r="58" spans="1:16" ht="20.25">
      <c r="A58" s="258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</row>
    <row r="59" spans="1:16" ht="20.25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</row>
    <row r="60" spans="1:16" ht="20.25">
      <c r="A60" s="258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</row>
    <row r="61" spans="1:16" ht="20.25">
      <c r="A61" s="258"/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</row>
    <row r="62" spans="1:16" ht="20.25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</row>
    <row r="63" spans="1:16" ht="20.25">
      <c r="A63" s="258"/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</row>
    <row r="64" spans="1:16" ht="20.25">
      <c r="A64" s="258"/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</row>
    <row r="65" spans="1:16" ht="20.25">
      <c r="A65" s="258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</row>
    <row r="66" spans="1:16" ht="20.25">
      <c r="A66" s="258"/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</row>
    <row r="67" spans="1:16" ht="20.25">
      <c r="A67" s="258"/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</row>
    <row r="68" spans="1:16" ht="20.25">
      <c r="A68" s="258"/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</row>
    <row r="69" spans="1:16" ht="20.25">
      <c r="A69" s="258"/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</row>
    <row r="70" spans="1:16" ht="20.25">
      <c r="A70" s="258"/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</row>
    <row r="71" spans="1:16" ht="20.25">
      <c r="A71" s="258"/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</row>
    <row r="72" spans="1:16" ht="20.25">
      <c r="A72" s="258"/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</row>
    <row r="73" spans="1:16" ht="20.25">
      <c r="A73" s="258"/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</row>
    <row r="74" spans="1:16" ht="20.25">
      <c r="A74" s="258"/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</row>
    <row r="75" spans="1:16" ht="20.25">
      <c r="A75" s="258"/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</row>
    <row r="76" spans="1:16" ht="20.25">
      <c r="A76" s="258"/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</row>
    <row r="77" spans="1:16" ht="20.25">
      <c r="A77" s="258"/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</row>
    <row r="78" spans="1:16" ht="20.25">
      <c r="A78" s="258"/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</row>
    <row r="79" spans="1:16" ht="20.25">
      <c r="A79" s="258"/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</row>
    <row r="80" spans="1:16" ht="20.25">
      <c r="A80" s="258"/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</row>
    <row r="81" spans="1:16" ht="20.25">
      <c r="A81" s="258"/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</row>
    <row r="82" spans="1:16" ht="20.25">
      <c r="A82" s="258"/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</row>
    <row r="83" spans="1:16" ht="20.25">
      <c r="A83" s="258"/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</row>
    <row r="84" spans="1:16" ht="20.25">
      <c r="A84" s="258"/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</row>
    <row r="85" spans="1:16" ht="20.25">
      <c r="A85" s="258"/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</row>
    <row r="86" spans="1:16" ht="20.25">
      <c r="A86" s="258"/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</row>
    <row r="87" spans="1:16" ht="20.25">
      <c r="A87" s="258"/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</row>
    <row r="88" spans="1:16" ht="20.25">
      <c r="A88" s="258"/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</row>
    <row r="89" spans="1:16" ht="20.25">
      <c r="A89" s="258"/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</row>
    <row r="90" spans="1:16" ht="20.25">
      <c r="A90" s="258"/>
      <c r="B90" s="258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</row>
    <row r="91" spans="1:16" ht="20.25">
      <c r="A91" s="258"/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</row>
    <row r="92" spans="1:16" ht="20.25">
      <c r="A92" s="258"/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</row>
    <row r="93" spans="1:16" ht="20.25">
      <c r="A93" s="258"/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</row>
    <row r="94" spans="1:16" ht="20.25">
      <c r="A94" s="258"/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</row>
    <row r="95" spans="1:16" ht="20.25">
      <c r="A95" s="258"/>
      <c r="B95" s="258"/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</row>
    <row r="96" spans="1:16" ht="20.25">
      <c r="A96" s="258"/>
      <c r="B96" s="258"/>
      <c r="C96" s="258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8"/>
    </row>
    <row r="97" spans="1:16" ht="20.25">
      <c r="A97" s="258"/>
      <c r="B97" s="258"/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</row>
    <row r="98" spans="1:16" ht="20.25">
      <c r="A98" s="258"/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</row>
    <row r="99" spans="1:16" ht="20.25">
      <c r="A99" s="258"/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</row>
    <row r="100" spans="1:16" ht="20.25">
      <c r="A100" s="258"/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</row>
    <row r="101" spans="1:16" ht="20.25">
      <c r="A101" s="258"/>
      <c r="B101" s="258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</row>
    <row r="102" spans="1:16" ht="20.25">
      <c r="A102" s="258"/>
      <c r="B102" s="258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</row>
    <row r="103" spans="1:16" ht="20.25">
      <c r="A103" s="258"/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</row>
    <row r="104" spans="1:16" ht="20.25">
      <c r="A104" s="258"/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</row>
    <row r="105" spans="1:16" ht="20.25">
      <c r="A105" s="258"/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</row>
    <row r="106" spans="1:16" ht="20.25">
      <c r="A106" s="258"/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</row>
    <row r="107" spans="1:16" ht="20.25">
      <c r="A107" s="258"/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</row>
    <row r="108" spans="1:16" ht="20.25">
      <c r="A108" s="258"/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</row>
    <row r="109" spans="1:16" ht="20.25">
      <c r="A109" s="258"/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</row>
    <row r="110" spans="1:16" ht="20.25">
      <c r="A110" s="258"/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</row>
    <row r="111" spans="1:16" ht="20.25">
      <c r="A111" s="258"/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</row>
    <row r="112" spans="1:16" ht="20.25">
      <c r="A112" s="258"/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</row>
    <row r="113" spans="1:16" ht="20.25">
      <c r="A113" s="258"/>
      <c r="B113" s="258"/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</row>
    <row r="114" spans="1:16" ht="20.25">
      <c r="A114" s="258"/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</row>
    <row r="115" spans="1:16" ht="20.25">
      <c r="A115" s="258"/>
      <c r="B115" s="258"/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8"/>
      <c r="O115" s="258"/>
      <c r="P115" s="258"/>
    </row>
    <row r="116" spans="1:16" ht="20.25">
      <c r="A116" s="258"/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</row>
    <row r="117" spans="1:16" ht="20.25">
      <c r="A117" s="258"/>
      <c r="B117" s="258"/>
      <c r="C117" s="258"/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58"/>
      <c r="O117" s="258"/>
      <c r="P117" s="258"/>
    </row>
    <row r="118" spans="1:16" ht="20.25">
      <c r="A118" s="258"/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</row>
    <row r="119" spans="1:16" ht="20.25">
      <c r="A119" s="258"/>
      <c r="B119" s="258"/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</row>
    <row r="120" spans="1:16" ht="20.25">
      <c r="A120" s="258"/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</row>
    <row r="121" spans="1:16" ht="20.25">
      <c r="A121" s="258"/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</row>
    <row r="122" spans="1:16" ht="20.25">
      <c r="A122" s="258"/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</row>
    <row r="123" spans="1:16" ht="20.25">
      <c r="A123" s="258"/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</row>
    <row r="124" spans="1:16" ht="20.25">
      <c r="A124" s="258"/>
      <c r="B124" s="258"/>
      <c r="C124" s="258"/>
      <c r="D124" s="258"/>
      <c r="E124" s="258"/>
      <c r="F124" s="258"/>
      <c r="G124" s="258"/>
      <c r="H124" s="258"/>
      <c r="I124" s="258"/>
      <c r="J124" s="258"/>
      <c r="K124" s="258"/>
      <c r="L124" s="258"/>
      <c r="M124" s="258"/>
      <c r="N124" s="258"/>
      <c r="O124" s="258"/>
      <c r="P124" s="258"/>
    </row>
    <row r="125" spans="1:16" ht="20.25">
      <c r="A125" s="258"/>
      <c r="B125" s="258"/>
      <c r="C125" s="258"/>
      <c r="D125" s="258"/>
      <c r="E125" s="258"/>
      <c r="F125" s="258"/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</row>
    <row r="126" spans="1:16" ht="20.25">
      <c r="A126" s="258"/>
      <c r="B126" s="258"/>
      <c r="C126" s="258"/>
      <c r="D126" s="25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</row>
    <row r="127" spans="1:16" ht="20.25">
      <c r="A127" s="258"/>
      <c r="B127" s="258"/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</row>
    <row r="128" spans="1:16" ht="20.25">
      <c r="A128" s="258"/>
      <c r="B128" s="258"/>
      <c r="C128" s="258"/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</row>
    <row r="129" spans="1:16" ht="20.25">
      <c r="A129" s="258"/>
      <c r="B129" s="258"/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</row>
    <row r="130" spans="1:16" ht="20.25">
      <c r="A130" s="258"/>
      <c r="B130" s="258"/>
      <c r="C130" s="258"/>
      <c r="D130" s="258"/>
      <c r="E130" s="258"/>
      <c r="F130" s="258"/>
      <c r="G130" s="258"/>
      <c r="H130" s="258"/>
      <c r="I130" s="258"/>
      <c r="J130" s="258"/>
      <c r="K130" s="258"/>
      <c r="L130" s="258"/>
      <c r="M130" s="258"/>
      <c r="N130" s="258"/>
      <c r="O130" s="258"/>
      <c r="P130" s="258"/>
    </row>
    <row r="131" spans="1:16" ht="20.25">
      <c r="A131" s="258"/>
      <c r="B131" s="258"/>
      <c r="C131" s="258"/>
      <c r="D131" s="258"/>
      <c r="E131" s="258"/>
      <c r="F131" s="258"/>
      <c r="G131" s="258"/>
      <c r="H131" s="258"/>
      <c r="I131" s="258"/>
      <c r="J131" s="258"/>
      <c r="K131" s="258"/>
      <c r="L131" s="258"/>
      <c r="M131" s="258"/>
      <c r="N131" s="258"/>
      <c r="O131" s="258"/>
      <c r="P131" s="258"/>
    </row>
    <row r="132" spans="1:16" ht="20.25">
      <c r="A132" s="258"/>
      <c r="B132" s="258"/>
      <c r="C132" s="258"/>
      <c r="D132" s="258"/>
      <c r="E132" s="258"/>
      <c r="F132" s="258"/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</row>
    <row r="133" spans="1:16" ht="20.25">
      <c r="A133" s="258"/>
      <c r="B133" s="258"/>
      <c r="C133" s="258"/>
      <c r="D133" s="258"/>
      <c r="E133" s="258"/>
      <c r="F133" s="258"/>
      <c r="G133" s="258"/>
      <c r="H133" s="258"/>
      <c r="I133" s="258"/>
      <c r="J133" s="258"/>
      <c r="K133" s="258"/>
      <c r="L133" s="258"/>
      <c r="M133" s="258"/>
      <c r="N133" s="258"/>
      <c r="O133" s="258"/>
      <c r="P133" s="258"/>
    </row>
    <row r="134" spans="1:16" ht="20.25">
      <c r="A134" s="258"/>
      <c r="B134" s="258"/>
      <c r="C134" s="258"/>
      <c r="D134" s="258"/>
      <c r="E134" s="258"/>
      <c r="F134" s="258"/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</row>
    <row r="135" spans="1:16" ht="20.25">
      <c r="A135" s="258"/>
      <c r="B135" s="258"/>
      <c r="C135" s="258"/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</row>
    <row r="136" spans="1:16" ht="20.25">
      <c r="A136" s="258"/>
      <c r="B136" s="258"/>
      <c r="C136" s="258"/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</row>
    <row r="137" spans="1:16" ht="20.25">
      <c r="A137" s="258"/>
      <c r="B137" s="258"/>
      <c r="C137" s="258"/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</row>
    <row r="138" spans="1:16" ht="20.25">
      <c r="A138" s="258"/>
      <c r="B138" s="258"/>
      <c r="C138" s="258"/>
      <c r="D138" s="258"/>
      <c r="E138" s="258"/>
      <c r="F138" s="258"/>
      <c r="G138" s="258"/>
      <c r="H138" s="258"/>
      <c r="I138" s="258"/>
      <c r="J138" s="258"/>
      <c r="K138" s="258"/>
      <c r="L138" s="258"/>
      <c r="M138" s="258"/>
      <c r="N138" s="258"/>
      <c r="O138" s="258"/>
      <c r="P138" s="258"/>
    </row>
    <row r="139" spans="1:16" ht="20.25">
      <c r="A139" s="258"/>
      <c r="B139" s="258"/>
      <c r="C139" s="258"/>
      <c r="D139" s="258"/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258"/>
      <c r="P139" s="258"/>
    </row>
    <row r="140" spans="1:16" ht="20.25">
      <c r="A140" s="258"/>
      <c r="B140" s="258"/>
      <c r="C140" s="258"/>
      <c r="D140" s="25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</row>
    <row r="141" spans="1:16" ht="20.25">
      <c r="A141" s="258"/>
      <c r="B141" s="258"/>
      <c r="C141" s="258"/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</row>
    <row r="142" spans="1:16" ht="20.25">
      <c r="A142" s="258"/>
      <c r="B142" s="258"/>
      <c r="C142" s="258"/>
      <c r="D142" s="258"/>
      <c r="E142" s="258"/>
      <c r="F142" s="258"/>
      <c r="G142" s="258"/>
      <c r="H142" s="258"/>
      <c r="I142" s="258"/>
      <c r="J142" s="258"/>
      <c r="K142" s="258"/>
      <c r="L142" s="258"/>
      <c r="M142" s="258"/>
      <c r="N142" s="258"/>
      <c r="O142" s="258"/>
      <c r="P142" s="258"/>
    </row>
    <row r="143" spans="1:16" ht="20.25">
      <c r="A143" s="258"/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</row>
    <row r="144" spans="1:16" ht="20.25">
      <c r="A144" s="258"/>
      <c r="B144" s="258"/>
      <c r="C144" s="258"/>
      <c r="D144" s="258"/>
      <c r="E144" s="258"/>
      <c r="F144" s="258"/>
      <c r="G144" s="258"/>
      <c r="H144" s="258"/>
      <c r="I144" s="258"/>
      <c r="J144" s="258"/>
      <c r="K144" s="258"/>
      <c r="L144" s="258"/>
      <c r="M144" s="258"/>
      <c r="N144" s="258"/>
      <c r="O144" s="258"/>
      <c r="P144" s="258"/>
    </row>
    <row r="145" spans="1:16" ht="20.25">
      <c r="A145" s="258"/>
      <c r="B145" s="258"/>
      <c r="C145" s="258"/>
      <c r="D145" s="258"/>
      <c r="E145" s="258"/>
      <c r="F145" s="258"/>
      <c r="G145" s="258"/>
      <c r="H145" s="258"/>
      <c r="I145" s="258"/>
      <c r="J145" s="258"/>
      <c r="K145" s="258"/>
      <c r="L145" s="258"/>
      <c r="M145" s="258"/>
      <c r="N145" s="258"/>
      <c r="O145" s="258"/>
      <c r="P145" s="258"/>
    </row>
    <row r="146" spans="1:16" ht="20.25">
      <c r="A146" s="258"/>
      <c r="B146" s="258"/>
      <c r="C146" s="258"/>
      <c r="D146" s="258"/>
      <c r="E146" s="258"/>
      <c r="F146" s="258"/>
      <c r="G146" s="258"/>
      <c r="H146" s="258"/>
      <c r="I146" s="258"/>
      <c r="J146" s="258"/>
      <c r="K146" s="258"/>
      <c r="L146" s="258"/>
      <c r="M146" s="258"/>
      <c r="N146" s="258"/>
      <c r="O146" s="258"/>
      <c r="P146" s="258"/>
    </row>
    <row r="147" spans="1:16" ht="20.25">
      <c r="A147" s="258"/>
      <c r="B147" s="258"/>
      <c r="C147" s="258"/>
      <c r="D147" s="258"/>
      <c r="E147" s="258"/>
      <c r="F147" s="258"/>
      <c r="G147" s="258"/>
      <c r="H147" s="258"/>
      <c r="I147" s="258"/>
      <c r="J147" s="258"/>
      <c r="K147" s="258"/>
      <c r="L147" s="258"/>
      <c r="M147" s="258"/>
      <c r="N147" s="258"/>
      <c r="O147" s="258"/>
      <c r="P147" s="258"/>
    </row>
    <row r="148" spans="1:16" ht="20.25">
      <c r="A148" s="258"/>
      <c r="B148" s="258"/>
      <c r="C148" s="258"/>
      <c r="D148" s="258"/>
      <c r="E148" s="258"/>
      <c r="F148" s="258"/>
      <c r="G148" s="258"/>
      <c r="H148" s="258"/>
      <c r="I148" s="258"/>
      <c r="J148" s="258"/>
      <c r="K148" s="258"/>
      <c r="L148" s="258"/>
      <c r="M148" s="258"/>
      <c r="N148" s="258"/>
      <c r="O148" s="258"/>
      <c r="P148" s="258"/>
    </row>
    <row r="149" spans="1:16" ht="20.25">
      <c r="A149" s="258"/>
      <c r="B149" s="258"/>
      <c r="C149" s="258"/>
      <c r="D149" s="258"/>
      <c r="E149" s="258"/>
      <c r="F149" s="258"/>
      <c r="G149" s="258"/>
      <c r="H149" s="258"/>
      <c r="I149" s="258"/>
      <c r="J149" s="258"/>
      <c r="K149" s="258"/>
      <c r="L149" s="258"/>
      <c r="M149" s="258"/>
      <c r="N149" s="258"/>
      <c r="O149" s="258"/>
      <c r="P149" s="258"/>
    </row>
    <row r="150" spans="1:16" ht="20.25">
      <c r="A150" s="258"/>
      <c r="B150" s="258"/>
      <c r="C150" s="258"/>
      <c r="D150" s="258"/>
      <c r="E150" s="258"/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  <c r="P150" s="258"/>
    </row>
    <row r="151" spans="1:16" ht="20.25">
      <c r="A151" s="258"/>
      <c r="B151" s="258"/>
      <c r="C151" s="258"/>
      <c r="D151" s="258"/>
      <c r="E151" s="258"/>
      <c r="F151" s="258"/>
      <c r="G151" s="258"/>
      <c r="H151" s="258"/>
      <c r="I151" s="258"/>
      <c r="J151" s="258"/>
      <c r="K151" s="258"/>
      <c r="L151" s="258"/>
      <c r="M151" s="258"/>
      <c r="N151" s="258"/>
      <c r="O151" s="258"/>
      <c r="P151" s="258"/>
    </row>
  </sheetData>
  <sheetProtection/>
  <mergeCells count="151">
    <mergeCell ref="A1:R1"/>
    <mergeCell ref="A2:O2"/>
    <mergeCell ref="A3:Q3"/>
    <mergeCell ref="A4:R4"/>
    <mergeCell ref="A5:P5"/>
    <mergeCell ref="A6:P6"/>
    <mergeCell ref="A7:P7"/>
    <mergeCell ref="A8:P8"/>
    <mergeCell ref="A9:P9"/>
    <mergeCell ref="A10:P10"/>
    <mergeCell ref="A11:P11"/>
    <mergeCell ref="A12:P12"/>
    <mergeCell ref="A19:P19"/>
    <mergeCell ref="A20:P20"/>
    <mergeCell ref="A21:P21"/>
    <mergeCell ref="A13:P13"/>
    <mergeCell ref="A14:P14"/>
    <mergeCell ref="A15:P15"/>
    <mergeCell ref="A16:P16"/>
    <mergeCell ref="A17:P17"/>
    <mergeCell ref="A18:P18"/>
    <mergeCell ref="A22:P22"/>
    <mergeCell ref="A23:P23"/>
    <mergeCell ref="A24:P24"/>
    <mergeCell ref="A25:P25"/>
    <mergeCell ref="A26:P26"/>
    <mergeCell ref="A27:P27"/>
    <mergeCell ref="A28:P28"/>
    <mergeCell ref="A29:P29"/>
    <mergeCell ref="A30:P30"/>
    <mergeCell ref="A31:P31"/>
    <mergeCell ref="A32:P32"/>
    <mergeCell ref="A33:P33"/>
    <mergeCell ref="A34:P34"/>
    <mergeCell ref="A35:P35"/>
    <mergeCell ref="A36:P36"/>
    <mergeCell ref="A37:P37"/>
    <mergeCell ref="A38:P38"/>
    <mergeCell ref="A39:P39"/>
    <mergeCell ref="A40:P40"/>
    <mergeCell ref="A41:P41"/>
    <mergeCell ref="A42:P42"/>
    <mergeCell ref="A43:P43"/>
    <mergeCell ref="A44:P44"/>
    <mergeCell ref="A45:P45"/>
    <mergeCell ref="A46:P46"/>
    <mergeCell ref="A47:P47"/>
    <mergeCell ref="A48:P48"/>
    <mergeCell ref="A49:P49"/>
    <mergeCell ref="A50:P50"/>
    <mergeCell ref="A51:P51"/>
    <mergeCell ref="A52:P52"/>
    <mergeCell ref="A53:P53"/>
    <mergeCell ref="A54:P54"/>
    <mergeCell ref="A55:P55"/>
    <mergeCell ref="A56:P56"/>
    <mergeCell ref="A57:P57"/>
    <mergeCell ref="A58:P58"/>
    <mergeCell ref="A59:P59"/>
    <mergeCell ref="A60:P60"/>
    <mergeCell ref="A61:P61"/>
    <mergeCell ref="A62:P62"/>
    <mergeCell ref="A63:P63"/>
    <mergeCell ref="A64:P64"/>
    <mergeCell ref="A65:P65"/>
    <mergeCell ref="A66:P66"/>
    <mergeCell ref="A67:P67"/>
    <mergeCell ref="A68:P68"/>
    <mergeCell ref="A69:P69"/>
    <mergeCell ref="A70:P70"/>
    <mergeCell ref="A71:P71"/>
    <mergeCell ref="A72:P72"/>
    <mergeCell ref="A73:P73"/>
    <mergeCell ref="A74:P74"/>
    <mergeCell ref="A75:P75"/>
    <mergeCell ref="A76:P76"/>
    <mergeCell ref="A77:P77"/>
    <mergeCell ref="A78:P78"/>
    <mergeCell ref="A79:P79"/>
    <mergeCell ref="A80:P80"/>
    <mergeCell ref="A81:P81"/>
    <mergeCell ref="A82:P82"/>
    <mergeCell ref="A83:P83"/>
    <mergeCell ref="A84:P84"/>
    <mergeCell ref="A85:P85"/>
    <mergeCell ref="A86:P86"/>
    <mergeCell ref="A87:P87"/>
    <mergeCell ref="A88:P88"/>
    <mergeCell ref="A89:P89"/>
    <mergeCell ref="A90:P90"/>
    <mergeCell ref="A91:P91"/>
    <mergeCell ref="A92:P92"/>
    <mergeCell ref="A93:P93"/>
    <mergeCell ref="A94:P94"/>
    <mergeCell ref="A95:P95"/>
    <mergeCell ref="A96:P96"/>
    <mergeCell ref="A97:P97"/>
    <mergeCell ref="A98:P98"/>
    <mergeCell ref="A99:P99"/>
    <mergeCell ref="A100:P100"/>
    <mergeCell ref="A101:P101"/>
    <mergeCell ref="A102:P102"/>
    <mergeCell ref="A103:P103"/>
    <mergeCell ref="A104:P104"/>
    <mergeCell ref="A105:P105"/>
    <mergeCell ref="A106:P106"/>
    <mergeCell ref="A107:P107"/>
    <mergeCell ref="A108:P108"/>
    <mergeCell ref="A109:P109"/>
    <mergeCell ref="A110:P110"/>
    <mergeCell ref="A111:P111"/>
    <mergeCell ref="A112:P112"/>
    <mergeCell ref="A113:P113"/>
    <mergeCell ref="A114:P114"/>
    <mergeCell ref="A115:P115"/>
    <mergeCell ref="A116:P116"/>
    <mergeCell ref="A117:P117"/>
    <mergeCell ref="A118:P118"/>
    <mergeCell ref="A119:P119"/>
    <mergeCell ref="A120:P120"/>
    <mergeCell ref="A121:P121"/>
    <mergeCell ref="A122:P122"/>
    <mergeCell ref="A123:P123"/>
    <mergeCell ref="A124:P124"/>
    <mergeCell ref="A125:P125"/>
    <mergeCell ref="A126:P126"/>
    <mergeCell ref="A127:P127"/>
    <mergeCell ref="A128:P128"/>
    <mergeCell ref="A129:P129"/>
    <mergeCell ref="A130:P130"/>
    <mergeCell ref="A131:P131"/>
    <mergeCell ref="A132:P132"/>
    <mergeCell ref="A133:P133"/>
    <mergeCell ref="A134:P134"/>
    <mergeCell ref="A135:P135"/>
    <mergeCell ref="A136:P136"/>
    <mergeCell ref="A137:P137"/>
    <mergeCell ref="A138:P138"/>
    <mergeCell ref="A139:P139"/>
    <mergeCell ref="A140:P140"/>
    <mergeCell ref="A141:P141"/>
    <mergeCell ref="A148:P148"/>
    <mergeCell ref="A149:P149"/>
    <mergeCell ref="A150:P150"/>
    <mergeCell ref="A151:P151"/>
    <mergeCell ref="A142:P142"/>
    <mergeCell ref="A143:P143"/>
    <mergeCell ref="A144:P144"/>
    <mergeCell ref="A145:P145"/>
    <mergeCell ref="A146:P146"/>
    <mergeCell ref="A147:P1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2013-11-30T10:01:22Z</cp:lastPrinted>
  <dcterms:created xsi:type="dcterms:W3CDTF">1996-10-08T23:32:33Z</dcterms:created>
  <dcterms:modified xsi:type="dcterms:W3CDTF">2022-02-10T05:33:48Z</dcterms:modified>
  <cp:category/>
  <cp:version/>
  <cp:contentType/>
  <cp:contentStatus/>
</cp:coreProperties>
</file>